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강민수\OneDrive\바탕 화면\"/>
    </mc:Choice>
  </mc:AlternateContent>
  <xr:revisionPtr revIDLastSave="0" documentId="13_ncr:1_{A8EA3470-CEDB-4200-921D-32B07BEDC653}" xr6:coauthVersionLast="47" xr6:coauthVersionMax="47" xr10:uidLastSave="{00000000-0000-0000-0000-000000000000}"/>
  <bookViews>
    <workbookView xWindow="-98" yWindow="-98" windowWidth="21795" windowHeight="12975" tabRatio="873" firstSheet="2" activeTab="10" xr2:uid="{00000000-000D-0000-FFFF-FFFF00000000}"/>
  </bookViews>
  <sheets>
    <sheet name="포화수증기압 표 " sheetId="24" state="hidden" r:id="rId1"/>
    <sheet name="Nozzle,K Factor" sheetId="1" state="hidden" r:id="rId2"/>
    <sheet name="먼지측정 사전 Data" sheetId="3" r:id="rId3"/>
    <sheet name="피토관,노즐표" sheetId="36" state="hidden" r:id="rId4"/>
    <sheet name="대기측정 분석결과서" sheetId="12" r:id="rId5"/>
    <sheet name="Sheet1" sheetId="38" state="hidden" r:id="rId6"/>
    <sheet name="대기측정기록부" sheetId="44" state="hidden" r:id="rId7"/>
    <sheet name="대기측정기록부(2페이지)" sheetId="46" state="hidden" r:id="rId8"/>
    <sheet name="대기측정기록부(현대차)" sheetId="47" r:id="rId9"/>
    <sheet name="현대차 시설명칭" sheetId="48" r:id="rId10"/>
    <sheet name="한종_시료채취기록지 " sheetId="42" r:id="rId11"/>
    <sheet name="시험일지(계산일지-1)" sheetId="39" r:id="rId12"/>
    <sheet name="시험일지(계산일지-1 포화)" sheetId="41" r:id="rId13"/>
    <sheet name="시험일지(계산일지-2)" sheetId="40" r:id="rId14"/>
    <sheet name="옵티마 시험일지" sheetId="34" r:id="rId15"/>
    <sheet name="한종_측정기록부 (사용X)" sheetId="27" state="hidden" r:id="rId16"/>
    <sheet name="한종_측정기록부(보일러)사용X" sheetId="33" state="hidden" r:id="rId17"/>
    <sheet name="한종_시료채취기록지 (사용X)" sheetId="29" state="hidden" r:id="rId18"/>
    <sheet name="먼지 시료 채취 기록지 (2) (사용 X)" sheetId="7" state="hidden" r:id="rId19"/>
    <sheet name="THC 시험일지" sheetId="35" state="hidden" r:id="rId20"/>
    <sheet name="먼지 시험일지" sheetId="37" state="hidden" r:id="rId21"/>
    <sheet name="(구)계산일지1 사용X" sheetId="30" state="hidden" r:id="rId22"/>
    <sheet name="(구)계산일지2 사용X" sheetId="32" state="hidden" r:id="rId23"/>
    <sheet name="(구)계산일지1(포화) 사용X" sheetId="31" state="hidden" r:id="rId24"/>
  </sheets>
  <externalReferences>
    <externalReference r:id="rId25"/>
    <externalReference r:id="rId26"/>
  </externalReferences>
  <definedNames>
    <definedName name="_____COX2" localSheetId="0">'[1]Determine K factor'!$B$7</definedName>
    <definedName name="_____NIT2" localSheetId="0">'[1]Determine K factor'!$B$9</definedName>
    <definedName name="_____OX2" localSheetId="0">'[1]Determine K factor'!$B$6</definedName>
    <definedName name="__COX2" localSheetId="0">'[2]Determine K factor'!$B$7</definedName>
    <definedName name="__NIT2" localSheetId="0">'[2]Determine K factor'!$B$9</definedName>
    <definedName name="__OX2" localSheetId="0">'[2]Determine K factor'!$B$6</definedName>
    <definedName name="Aa01_">'피토관,노즐표'!$D$20:$D$25</definedName>
    <definedName name="Aa02_03_04">'피토관,노즐표'!$E$20:$E$26</definedName>
    <definedName name="Aa05_06">'피토관,노즐표'!$F$20:$F$26</definedName>
    <definedName name="Aa07_">'피토관,노즐표'!$G$20:$G$26</definedName>
    <definedName name="An" localSheetId="0">'[2]Test Results'!$F$20</definedName>
    <definedName name="As" localSheetId="0">'[2]Test Results'!$B$19</definedName>
    <definedName name="Bwo" localSheetId="0">'[2]Determine K factor'!$B$10</definedName>
    <definedName name="calc_tm" localSheetId="0">'[2]Test Results'!$B$17</definedName>
    <definedName name="calc_ts" localSheetId="0">'[2]Test Results'!$B$13</definedName>
    <definedName name="COX" localSheetId="0">'[2]Determine K factor'!$B$8</definedName>
    <definedName name="Cp" localSheetId="0">'[2]Determine K factor'!$B$20</definedName>
    <definedName name="DH" localSheetId="0">'[2]Determine K factor'!$B$16</definedName>
    <definedName name="DHa" localSheetId="0">'[2]Determine K factor'!$B$15</definedName>
    <definedName name="Dn" localSheetId="0">'[2]Determine K factor'!$B$22</definedName>
    <definedName name="Dp" localSheetId="0">'[2]Determine K factor'!$B$14</definedName>
    <definedName name="Kf" localSheetId="0">'[2]Determine K factor'!$F$17</definedName>
    <definedName name="Md" localSheetId="0">'[2]Determine K factor'!$F$9</definedName>
    <definedName name="Ms" localSheetId="0">'[2]Determine K factor'!$F$10</definedName>
    <definedName name="Pb" localSheetId="0">'[2]Determine K factor'!$B$11</definedName>
    <definedName name="Pg" localSheetId="0">'[2]Determine K factor'!$B$12</definedName>
    <definedName name="Pm" localSheetId="0">'[2]Determine K factor'!$F$7</definedName>
    <definedName name="PM10_">'피토관,노즐표'!$J$20:$J$31</definedName>
    <definedName name="PM2.5_">'피토관,노즐표'!$K$20:$K$25</definedName>
    <definedName name="_xlnm.Print_Area" localSheetId="21">'(구)계산일지1 사용X'!$A$1:$AG$43</definedName>
    <definedName name="_xlnm.Print_Area" localSheetId="23">'(구)계산일지1(포화) 사용X'!$A$1:$AG$43</definedName>
    <definedName name="_xlnm.Print_Area" localSheetId="22">'(구)계산일지2 사용X'!$A$1:$AG$42</definedName>
    <definedName name="_xlnm.Print_Area" localSheetId="19">'THC 시험일지'!$A$1:$Q$42</definedName>
    <definedName name="_xlnm.Print_Area" localSheetId="4">'대기측정 분석결과서'!$A$1:$AE$74</definedName>
    <definedName name="_xlnm.Print_Area" localSheetId="6">대기측정기록부!$A$1:$T$45</definedName>
    <definedName name="_xlnm.Print_Area" localSheetId="7">'대기측정기록부(2페이지)'!$A$1:$T$82</definedName>
    <definedName name="_xlnm.Print_Area" localSheetId="8">'대기측정기록부(현대차)'!$A$1:$T$45</definedName>
    <definedName name="_xlnm.Print_Area" localSheetId="20">'먼지 시험일지'!$A$1:$AW$50</definedName>
    <definedName name="_xlnm.Print_Area" localSheetId="2">'먼지측정 사전 Data'!$A$1:$T$94</definedName>
    <definedName name="_xlnm.Print_Area" localSheetId="12">'시험일지(계산일지-1 포화)'!$A$1:$AW$51</definedName>
    <definedName name="_xlnm.Print_Area" localSheetId="11">'시험일지(계산일지-1)'!$A$1:$AW$51</definedName>
    <definedName name="_xlnm.Print_Area" localSheetId="13">'시험일지(계산일지-2)'!$A$1:$AW$51</definedName>
    <definedName name="_xlnm.Print_Area" localSheetId="14">'옵티마 시험일지'!$A$1:$M$41</definedName>
    <definedName name="_xlnm.Print_Area" localSheetId="10">'한종_시료채취기록지 '!$B$1:$X$43</definedName>
    <definedName name="_xlnm.Print_Area" localSheetId="17">'한종_시료채취기록지 (사용X)'!$A$1:$W$42</definedName>
    <definedName name="_xlnm.Print_Area" localSheetId="15">'한종_측정기록부 (사용X)'!$A$1:$T$39</definedName>
    <definedName name="_xlnm.Print_Area" localSheetId="16">'한종_측정기록부(보일러)사용X'!$A$1:$T$41</definedName>
    <definedName name="Ps" localSheetId="0">'[2]Determine K factor'!$F$5</definedName>
    <definedName name="Qa" localSheetId="0">'[2]Test Results'!$F$18</definedName>
    <definedName name="rel_tm" localSheetId="0">'[2]Determine K factor'!$B$18</definedName>
    <definedName name="rel_ts" localSheetId="0">'[2]Determine K factor'!$B$13</definedName>
    <definedName name="theta" localSheetId="0">'[2]Determine K factor'!$B$17</definedName>
    <definedName name="Tm" localSheetId="0">'[2]Determine K factor'!$F$8</definedName>
    <definedName name="Ts" localSheetId="0">'[2]Determine K factor'!$F$6</definedName>
    <definedName name="units" localSheetId="0">'[2]Determine K factor'!$F$23</definedName>
    <definedName name="Vlc" localSheetId="0">'[2]Test Results'!$B$10</definedName>
    <definedName name="Vm" localSheetId="0">'[2]Test Results'!$B$21</definedName>
    <definedName name="Vmstd" localSheetId="0">'[2]Test Results'!$F$9</definedName>
    <definedName name="Vr" localSheetId="0">'[2]Determine K factor'!$B$19</definedName>
    <definedName name="vs" localSheetId="0">'[2]Test Results'!$F$17</definedName>
    <definedName name="Yd" localSheetId="0">'[2]Determine K factor'!$B$21</definedName>
    <definedName name="가스상시간">'한종_시료채취기록지 '!$E$34:$H$44</definedName>
    <definedName name="가스상항목">'한종_시료채취기록지 '!$A$34:$A$44</definedName>
    <definedName name="가스상항목시간">'한종_시료채취기록지 '!$A$34:$H$44</definedName>
    <definedName name="기기번호">'피토관,노즐표'!$X$5:$X$11</definedName>
    <definedName name="기술인력들">'피토관,노즐표'!$R$20:$R$32</definedName>
    <definedName name="노즐목록">'피토관,노즐표'!$B$20:$B$27</definedName>
    <definedName name="누출검사" localSheetId="10">'한종_시료채취기록지 '!$AG$15:$AG$16</definedName>
    <definedName name="누출검사">'한종_시료채취기록지 (사용X)'!$Z$14:$Z$15</definedName>
    <definedName name="누출검사단위" localSheetId="10">'한종_시료채취기록지 '!$AG$11:$AG$12</definedName>
    <definedName name="누출검사단위">'한종_시료채취기록지 (사용X)'!$Z$10:$Z$11</definedName>
    <definedName name="단위">'대기측정 분석결과서'!$AH$23:$AH$72</definedName>
    <definedName name="먼지_중금속">'피토관,노즐표'!$AB$7:$AB$10</definedName>
    <definedName name="미세먼지">'피토관,노즐표'!$AG$7:$AG$8</definedName>
    <definedName name="수은_1">'피토관,노즐표'!$H$20:$H$26</definedName>
    <definedName name="수은_2">'피토관,노즐표'!$I$20:$I$26</definedName>
    <definedName name="수은1팀">'피토관,노즐표'!$AC$7</definedName>
    <definedName name="수은2팀">'피토관,노즐표'!$AD$7</definedName>
    <definedName name="수은3팀">'피토관,노즐표'!$AE$7</definedName>
    <definedName name="수은4팀">'피토관,노즐표'!$AF$7</definedName>
    <definedName name="수은피토우관">'피토관,노즐표'!$X$13:$X$16</definedName>
    <definedName name="시료종류" localSheetId="10">'한종_시료채취기록지 '!$AG$2:$AG$7</definedName>
    <definedName name="시료종류">'피토관,노즐표'!$H$54:$H$60</definedName>
    <definedName name="적합도">'피토관,노즐표'!$E$54:$E$56</definedName>
    <definedName name="적합여부">'피토관,노즐표'!$F$54:$F$56</definedName>
    <definedName name="채취자의견">'피토관,노즐표'!$D$54:$D$55</definedName>
    <definedName name="총탄화수소기계종류">'THC 시험일지'!$S$11:$S$12</definedName>
    <definedName name="측정분석방법">'대기측정 분석결과서'!$Z$23:$Z$72</definedName>
    <definedName name="측정항목">'대기측정 분석결과서'!$C$23:$C$74</definedName>
    <definedName name="피토관구분">'피토관,노즐표'!$Z$6:$Z$11</definedName>
    <definedName name="항목">'대기측정 분석결과서'!$C$23:$C$74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2" l="1"/>
  <c r="F23" i="12" s="1"/>
  <c r="G25" i="12"/>
  <c r="F25" i="12" s="1"/>
  <c r="H25" i="12"/>
  <c r="I25" i="12"/>
  <c r="G26" i="12"/>
  <c r="H26" i="12"/>
  <c r="I26" i="12"/>
  <c r="G27" i="12"/>
  <c r="F27" i="12" s="1"/>
  <c r="H27" i="12"/>
  <c r="I27" i="12"/>
  <c r="F24" i="12"/>
  <c r="F26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H11" i="48"/>
  <c r="J11" i="48" s="1"/>
  <c r="H10" i="48"/>
  <c r="J10" i="48" s="1"/>
  <c r="H50" i="3" l="1"/>
  <c r="AE13" i="39" s="1"/>
  <c r="M19" i="29"/>
  <c r="T1" i="47"/>
  <c r="T42" i="46"/>
  <c r="T1" i="46"/>
  <c r="T1" i="44"/>
  <c r="F9" i="44"/>
  <c r="I35" i="42"/>
  <c r="E97" i="3"/>
  <c r="C97" i="3"/>
  <c r="E95" i="3"/>
  <c r="H95" i="3" s="1"/>
  <c r="C95" i="3"/>
  <c r="A97" i="3"/>
  <c r="A95" i="3"/>
  <c r="D1" i="12" s="1"/>
  <c r="Y25" i="42"/>
  <c r="AC35" i="42"/>
  <c r="AG25" i="42"/>
  <c r="AE25" i="42"/>
  <c r="AC25" i="42"/>
  <c r="AA25" i="42"/>
  <c r="AC36" i="42"/>
  <c r="AC37" i="42"/>
  <c r="AC38" i="42"/>
  <c r="AC39" i="42"/>
  <c r="AC40" i="42"/>
  <c r="AC41" i="42"/>
  <c r="AC42" i="42"/>
  <c r="AC43" i="42"/>
  <c r="AC44" i="42"/>
  <c r="AC34" i="42"/>
  <c r="N3" i="42"/>
  <c r="M9" i="44" s="1"/>
  <c r="I44" i="42"/>
  <c r="I43" i="42"/>
  <c r="I42" i="42"/>
  <c r="I41" i="42"/>
  <c r="I40" i="42"/>
  <c r="H80" i="3"/>
  <c r="X20" i="42" s="1"/>
  <c r="I37" i="42"/>
  <c r="I36" i="42"/>
  <c r="I34" i="42"/>
  <c r="F9" i="42"/>
  <c r="O9" i="44" s="1"/>
  <c r="S35" i="42"/>
  <c r="S36" i="42"/>
  <c r="S37" i="42"/>
  <c r="S38" i="42"/>
  <c r="S39" i="42"/>
  <c r="S40" i="42"/>
  <c r="S41" i="42"/>
  <c r="S42" i="42"/>
  <c r="S43" i="42"/>
  <c r="S44" i="42"/>
  <c r="F18" i="46"/>
  <c r="R23" i="46" s="1"/>
  <c r="E8" i="29"/>
  <c r="Q17" i="27" s="1"/>
  <c r="S47" i="46"/>
  <c r="S48" i="46"/>
  <c r="S49" i="46"/>
  <c r="S50" i="46"/>
  <c r="S51" i="46"/>
  <c r="S52" i="46"/>
  <c r="S53" i="46"/>
  <c r="S54" i="46"/>
  <c r="S55" i="46"/>
  <c r="S56" i="46"/>
  <c r="S57" i="46"/>
  <c r="S58" i="46"/>
  <c r="S59" i="46"/>
  <c r="S60" i="46"/>
  <c r="S61" i="46"/>
  <c r="S62" i="46"/>
  <c r="S63" i="46"/>
  <c r="S64" i="46"/>
  <c r="S65" i="46"/>
  <c r="S66" i="46"/>
  <c r="S67" i="46"/>
  <c r="S68" i="46"/>
  <c r="S69" i="46"/>
  <c r="S70" i="46"/>
  <c r="S46" i="46"/>
  <c r="S27" i="46"/>
  <c r="S28" i="46"/>
  <c r="S29" i="46"/>
  <c r="S30" i="46"/>
  <c r="S31" i="46"/>
  <c r="S32" i="46"/>
  <c r="S33" i="46"/>
  <c r="S34" i="46"/>
  <c r="S35" i="46"/>
  <c r="S36" i="46"/>
  <c r="S37" i="46"/>
  <c r="S38" i="46"/>
  <c r="S39" i="46"/>
  <c r="S40" i="46"/>
  <c r="S26" i="46"/>
  <c r="S31" i="44"/>
  <c r="S32" i="44"/>
  <c r="S33" i="44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64" i="46"/>
  <c r="O65" i="46"/>
  <c r="O66" i="46"/>
  <c r="O67" i="46"/>
  <c r="O68" i="46"/>
  <c r="O69" i="46"/>
  <c r="O70" i="46"/>
  <c r="O4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26" i="46"/>
  <c r="O31" i="44"/>
  <c r="O32" i="44"/>
  <c r="O33" i="44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4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H39" i="46"/>
  <c r="H40" i="46"/>
  <c r="H26" i="46"/>
  <c r="H31" i="44"/>
  <c r="H32" i="44"/>
  <c r="H33" i="44"/>
  <c r="I47" i="46"/>
  <c r="I48" i="46"/>
  <c r="I49" i="46"/>
  <c r="I50" i="46"/>
  <c r="I51" i="46"/>
  <c r="I52" i="46"/>
  <c r="I53" i="46"/>
  <c r="I54" i="46"/>
  <c r="I55" i="46"/>
  <c r="I56" i="46"/>
  <c r="I57" i="46"/>
  <c r="I58" i="46"/>
  <c r="I59" i="46"/>
  <c r="I60" i="46"/>
  <c r="I61" i="46"/>
  <c r="I62" i="46"/>
  <c r="I63" i="46"/>
  <c r="I64" i="46"/>
  <c r="I65" i="46"/>
  <c r="I66" i="46"/>
  <c r="I67" i="46"/>
  <c r="I68" i="46"/>
  <c r="I69" i="46"/>
  <c r="I70" i="46"/>
  <c r="I46" i="46"/>
  <c r="I27" i="46"/>
  <c r="I28" i="46"/>
  <c r="I29" i="46"/>
  <c r="I30" i="46"/>
  <c r="I31" i="46"/>
  <c r="I32" i="46"/>
  <c r="I33" i="46"/>
  <c r="I34" i="46"/>
  <c r="I35" i="46"/>
  <c r="I36" i="46"/>
  <c r="I37" i="46"/>
  <c r="I38" i="46"/>
  <c r="I39" i="46"/>
  <c r="I40" i="46"/>
  <c r="I26" i="46"/>
  <c r="I31" i="44"/>
  <c r="I32" i="44"/>
  <c r="I33" i="44"/>
  <c r="AL30" i="12"/>
  <c r="AL60" i="12"/>
  <c r="AL61" i="12"/>
  <c r="AL63" i="12"/>
  <c r="AL64" i="12"/>
  <c r="AL67" i="12"/>
  <c r="AL29" i="12"/>
  <c r="AL40" i="12"/>
  <c r="AL73" i="12"/>
  <c r="F74" i="12"/>
  <c r="AL74" i="12"/>
  <c r="L28" i="47"/>
  <c r="P27" i="47"/>
  <c r="P26" i="47"/>
  <c r="P28" i="47"/>
  <c r="P25" i="47"/>
  <c r="L27" i="47"/>
  <c r="L25" i="47"/>
  <c r="B26" i="47"/>
  <c r="B27" i="47"/>
  <c r="B28" i="47"/>
  <c r="B25" i="47"/>
  <c r="F25" i="47"/>
  <c r="N26" i="47"/>
  <c r="N27" i="47"/>
  <c r="N28" i="47"/>
  <c r="N25" i="47"/>
  <c r="H26" i="47"/>
  <c r="H27" i="47"/>
  <c r="H28" i="47"/>
  <c r="H25" i="47"/>
  <c r="F26" i="47"/>
  <c r="F27" i="47"/>
  <c r="F28" i="47"/>
  <c r="L26" i="47"/>
  <c r="H22" i="47"/>
  <c r="H21" i="47"/>
  <c r="F18" i="47"/>
  <c r="R25" i="47" s="1"/>
  <c r="F14" i="47"/>
  <c r="S9" i="47"/>
  <c r="F7" i="47"/>
  <c r="F6" i="47"/>
  <c r="P5" i="47"/>
  <c r="F5" i="47"/>
  <c r="P4" i="47"/>
  <c r="F4" i="47"/>
  <c r="P3" i="47"/>
  <c r="F3" i="47"/>
  <c r="F31" i="46"/>
  <c r="L31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65" i="46"/>
  <c r="L66" i="46"/>
  <c r="L67" i="46"/>
  <c r="L68" i="46"/>
  <c r="L69" i="46"/>
  <c r="L70" i="46"/>
  <c r="L46" i="46"/>
  <c r="L27" i="46"/>
  <c r="L28" i="46"/>
  <c r="L29" i="46"/>
  <c r="L30" i="46"/>
  <c r="L32" i="46"/>
  <c r="L33" i="46"/>
  <c r="L34" i="46"/>
  <c r="L35" i="46"/>
  <c r="L36" i="46"/>
  <c r="L37" i="46"/>
  <c r="L38" i="46"/>
  <c r="L39" i="46"/>
  <c r="L40" i="46"/>
  <c r="L26" i="46"/>
  <c r="L31" i="44"/>
  <c r="L32" i="44"/>
  <c r="L33" i="44"/>
  <c r="A35" i="42"/>
  <c r="A36" i="42"/>
  <c r="A37" i="42"/>
  <c r="A38" i="42"/>
  <c r="A39" i="42"/>
  <c r="A40" i="42"/>
  <c r="A41" i="42"/>
  <c r="A42" i="42"/>
  <c r="A43" i="42"/>
  <c r="A44" i="42"/>
  <c r="A34" i="42"/>
  <c r="E17" i="38"/>
  <c r="E7" i="38"/>
  <c r="E8" i="38"/>
  <c r="E9" i="38"/>
  <c r="E10" i="38"/>
  <c r="E11" i="38"/>
  <c r="E13" i="38"/>
  <c r="E14" i="38"/>
  <c r="E15" i="38"/>
  <c r="E16" i="38"/>
  <c r="E18" i="38"/>
  <c r="E19" i="38"/>
  <c r="E20" i="38"/>
  <c r="E22" i="38"/>
  <c r="E23" i="38"/>
  <c r="E24" i="38"/>
  <c r="E25" i="38"/>
  <c r="E26" i="38"/>
  <c r="E27" i="38"/>
  <c r="E28" i="38"/>
  <c r="E29" i="38"/>
  <c r="E30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7" i="38"/>
  <c r="E49" i="38"/>
  <c r="E50" i="38"/>
  <c r="E51" i="38"/>
  <c r="E6" i="38"/>
  <c r="L34" i="47" s="1"/>
  <c r="C26" i="12"/>
  <c r="C27" i="12"/>
  <c r="C28" i="12"/>
  <c r="C32" i="12"/>
  <c r="C33" i="12"/>
  <c r="C34" i="12"/>
  <c r="C35" i="12"/>
  <c r="C36" i="12"/>
  <c r="C37" i="12"/>
  <c r="C38" i="12"/>
  <c r="C39" i="12"/>
  <c r="C42" i="12"/>
  <c r="C43" i="12"/>
  <c r="C44" i="12"/>
  <c r="C45" i="12"/>
  <c r="C46" i="12"/>
  <c r="C47" i="12"/>
  <c r="C48" i="12"/>
  <c r="C49" i="12"/>
  <c r="C50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5" i="12"/>
  <c r="C66" i="12"/>
  <c r="C68" i="12"/>
  <c r="C70" i="12"/>
  <c r="C71" i="12"/>
  <c r="C72" i="12"/>
  <c r="C23" i="12"/>
  <c r="C24" i="12"/>
  <c r="C25" i="12"/>
  <c r="S27" i="44"/>
  <c r="O27" i="44"/>
  <c r="H27" i="44"/>
  <c r="I27" i="44"/>
  <c r="S28" i="44"/>
  <c r="O28" i="44"/>
  <c r="H28" i="44"/>
  <c r="I28" i="44"/>
  <c r="S29" i="44"/>
  <c r="O29" i="44"/>
  <c r="H29" i="44"/>
  <c r="I29" i="44"/>
  <c r="S30" i="44"/>
  <c r="S26" i="44"/>
  <c r="O30" i="44"/>
  <c r="O26" i="44"/>
  <c r="H30" i="44"/>
  <c r="H26" i="44"/>
  <c r="I30" i="44"/>
  <c r="I26" i="44"/>
  <c r="L27" i="44"/>
  <c r="L30" i="44"/>
  <c r="L28" i="44"/>
  <c r="L29" i="44"/>
  <c r="U44" i="42"/>
  <c r="L44" i="42"/>
  <c r="E44" i="42"/>
  <c r="F18" i="44"/>
  <c r="R23" i="44" s="1"/>
  <c r="E35" i="42"/>
  <c r="E36" i="42"/>
  <c r="E37" i="42"/>
  <c r="E38" i="42"/>
  <c r="E39" i="42"/>
  <c r="E40" i="42"/>
  <c r="E41" i="42"/>
  <c r="E42" i="42"/>
  <c r="E43" i="42"/>
  <c r="E34" i="42"/>
  <c r="AG23" i="42"/>
  <c r="AC23" i="42"/>
  <c r="V31" i="42" s="1"/>
  <c r="L26" i="44"/>
  <c r="Y23" i="42"/>
  <c r="L31" i="42" s="1"/>
  <c r="AG20" i="42"/>
  <c r="AC20" i="42"/>
  <c r="Y20" i="42"/>
  <c r="T94" i="3"/>
  <c r="T93" i="3"/>
  <c r="S2" i="42"/>
  <c r="W33" i="42"/>
  <c r="F6" i="42"/>
  <c r="F39" i="46"/>
  <c r="R39" i="47"/>
  <c r="O39" i="47"/>
  <c r="K39" i="47"/>
  <c r="R75" i="46"/>
  <c r="O75" i="46"/>
  <c r="K75" i="46"/>
  <c r="F69" i="46"/>
  <c r="F46" i="46"/>
  <c r="F47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70" i="46"/>
  <c r="F32" i="46"/>
  <c r="F33" i="46"/>
  <c r="F34" i="46"/>
  <c r="F35" i="46"/>
  <c r="F36" i="46"/>
  <c r="F37" i="46"/>
  <c r="F38" i="46"/>
  <c r="F40" i="46"/>
  <c r="F30" i="46"/>
  <c r="F29" i="46"/>
  <c r="F28" i="46"/>
  <c r="F27" i="46"/>
  <c r="F26" i="46"/>
  <c r="P23" i="46"/>
  <c r="F23" i="46"/>
  <c r="N23" i="46" s="1"/>
  <c r="B23" i="46"/>
  <c r="P4" i="46" s="1"/>
  <c r="H20" i="46"/>
  <c r="H19" i="46"/>
  <c r="F14" i="46"/>
  <c r="S9" i="46"/>
  <c r="F9" i="46"/>
  <c r="F7" i="46"/>
  <c r="F6" i="46"/>
  <c r="P5" i="46"/>
  <c r="F5" i="46"/>
  <c r="F4" i="46"/>
  <c r="P3" i="46"/>
  <c r="F3" i="46"/>
  <c r="W2" i="42"/>
  <c r="L16" i="42" s="1"/>
  <c r="AK20" i="42"/>
  <c r="AO20" i="42"/>
  <c r="F23" i="44"/>
  <c r="N23" i="44" s="1"/>
  <c r="P23" i="44"/>
  <c r="L35" i="42"/>
  <c r="L34" i="42"/>
  <c r="F27" i="44"/>
  <c r="F28" i="44"/>
  <c r="F29" i="44"/>
  <c r="F30" i="44"/>
  <c r="F31" i="44"/>
  <c r="F32" i="44"/>
  <c r="F33" i="44"/>
  <c r="F26" i="44"/>
  <c r="B23" i="44"/>
  <c r="P4" i="44" s="1"/>
  <c r="H20" i="44"/>
  <c r="H19" i="44"/>
  <c r="F14" i="44"/>
  <c r="S9" i="44"/>
  <c r="P5" i="44"/>
  <c r="F7" i="44"/>
  <c r="P3" i="44"/>
  <c r="F6" i="44"/>
  <c r="F5" i="44"/>
  <c r="F4" i="44"/>
  <c r="F3" i="44"/>
  <c r="F3" i="33"/>
  <c r="I8" i="42"/>
  <c r="F8" i="42"/>
  <c r="H14" i="3"/>
  <c r="S9" i="29" s="1"/>
  <c r="D39" i="3"/>
  <c r="U31" i="3"/>
  <c r="D41" i="3" s="1"/>
  <c r="L9" i="29" s="1"/>
  <c r="U43" i="42"/>
  <c r="L43" i="42"/>
  <c r="U42" i="42"/>
  <c r="L42" i="42"/>
  <c r="U41" i="42"/>
  <c r="L41" i="42"/>
  <c r="U40" i="42"/>
  <c r="L40" i="42"/>
  <c r="U39" i="42"/>
  <c r="L39" i="42"/>
  <c r="U38" i="42"/>
  <c r="L38" i="42"/>
  <c r="U37" i="42"/>
  <c r="L37" i="42"/>
  <c r="U36" i="42"/>
  <c r="L36" i="42"/>
  <c r="U35" i="42"/>
  <c r="U34" i="42"/>
  <c r="S30" i="42"/>
  <c r="P30" i="42"/>
  <c r="N30" i="42"/>
  <c r="L30" i="42"/>
  <c r="J30" i="42"/>
  <c r="H30" i="42"/>
  <c r="B30" i="42"/>
  <c r="W27" i="42"/>
  <c r="O27" i="42"/>
  <c r="X18" i="42"/>
  <c r="W20" i="42"/>
  <c r="U20" i="42"/>
  <c r="S20" i="42"/>
  <c r="M20" i="42"/>
  <c r="L20" i="42"/>
  <c r="J20" i="42"/>
  <c r="H20" i="42"/>
  <c r="F20" i="42"/>
  <c r="D20" i="42"/>
  <c r="T5" i="42"/>
  <c r="T11" i="42"/>
  <c r="H16" i="3"/>
  <c r="G11" i="34" s="1"/>
  <c r="X10" i="42"/>
  <c r="S8" i="42"/>
  <c r="T6" i="42"/>
  <c r="M9" i="3"/>
  <c r="X5" i="42"/>
  <c r="X3" i="42"/>
  <c r="T3" i="42"/>
  <c r="F5" i="42"/>
  <c r="F3" i="42"/>
  <c r="L11" i="29"/>
  <c r="J34" i="29"/>
  <c r="J35" i="29"/>
  <c r="J36" i="29"/>
  <c r="J37" i="29"/>
  <c r="J38" i="29"/>
  <c r="J39" i="29"/>
  <c r="J40" i="29"/>
  <c r="J41" i="29"/>
  <c r="J42" i="29"/>
  <c r="J33" i="29"/>
  <c r="T34" i="29"/>
  <c r="T35" i="29"/>
  <c r="T36" i="29"/>
  <c r="T37" i="29"/>
  <c r="T38" i="29"/>
  <c r="T39" i="29"/>
  <c r="T40" i="29"/>
  <c r="T41" i="29"/>
  <c r="T42" i="29"/>
  <c r="T33" i="29"/>
  <c r="M29" i="29"/>
  <c r="K29" i="29"/>
  <c r="D34" i="29"/>
  <c r="D35" i="29"/>
  <c r="D36" i="29"/>
  <c r="D37" i="29"/>
  <c r="D38" i="29"/>
  <c r="D39" i="29"/>
  <c r="D40" i="29"/>
  <c r="D41" i="29"/>
  <c r="D42" i="29"/>
  <c r="D33" i="29"/>
  <c r="S5" i="3"/>
  <c r="H5" i="3"/>
  <c r="F35" i="47" s="1"/>
  <c r="O20" i="40"/>
  <c r="O19" i="40"/>
  <c r="O23" i="40"/>
  <c r="O22" i="40"/>
  <c r="M26" i="32"/>
  <c r="J7" i="39"/>
  <c r="J7" i="41" s="1"/>
  <c r="AG6" i="39"/>
  <c r="AG6" i="40" s="1"/>
  <c r="AG7" i="40" s="1"/>
  <c r="AG7" i="39"/>
  <c r="A10" i="41"/>
  <c r="A10" i="39"/>
  <c r="A10" i="40" s="1"/>
  <c r="S25" i="27"/>
  <c r="S26" i="27"/>
  <c r="S27" i="27"/>
  <c r="S28" i="27"/>
  <c r="S29" i="27"/>
  <c r="S27" i="33"/>
  <c r="S28" i="33"/>
  <c r="S29" i="33"/>
  <c r="S30" i="33"/>
  <c r="S31" i="33"/>
  <c r="B21" i="33"/>
  <c r="R14" i="33"/>
  <c r="F7" i="33"/>
  <c r="G9" i="33"/>
  <c r="F8" i="27"/>
  <c r="F7" i="27"/>
  <c r="O31" i="33"/>
  <c r="O30" i="33"/>
  <c r="O29" i="33"/>
  <c r="O28" i="33"/>
  <c r="O27" i="33"/>
  <c r="O29" i="27"/>
  <c r="O28" i="27"/>
  <c r="O27" i="27"/>
  <c r="O26" i="27"/>
  <c r="O25" i="27"/>
  <c r="H97" i="3"/>
  <c r="F24" i="27"/>
  <c r="F25" i="27"/>
  <c r="I27" i="33"/>
  <c r="I28" i="33"/>
  <c r="I29" i="33"/>
  <c r="I30" i="33"/>
  <c r="I31" i="33"/>
  <c r="H27" i="33"/>
  <c r="H28" i="33"/>
  <c r="H29" i="33"/>
  <c r="H30" i="33"/>
  <c r="H31" i="33"/>
  <c r="F25" i="33"/>
  <c r="F26" i="33"/>
  <c r="F27" i="33"/>
  <c r="F28" i="33"/>
  <c r="F29" i="33"/>
  <c r="F30" i="33"/>
  <c r="F31" i="33"/>
  <c r="I27" i="27"/>
  <c r="I28" i="27"/>
  <c r="I29" i="27"/>
  <c r="H29" i="27"/>
  <c r="F29" i="27"/>
  <c r="H28" i="27"/>
  <c r="F28" i="27"/>
  <c r="H27" i="27"/>
  <c r="F27" i="27"/>
  <c r="H26" i="27"/>
  <c r="F26" i="27"/>
  <c r="H25" i="27"/>
  <c r="G18" i="33"/>
  <c r="G19" i="27"/>
  <c r="Z1" i="12"/>
  <c r="W4" i="30" s="1"/>
  <c r="W5" i="30" s="1"/>
  <c r="J6" i="37"/>
  <c r="AL11" i="37"/>
  <c r="AL14" i="37" s="1"/>
  <c r="AL10" i="37"/>
  <c r="AL13" i="37" s="1"/>
  <c r="AG5" i="37"/>
  <c r="AG6" i="37" s="1"/>
  <c r="AG4" i="37"/>
  <c r="I6" i="34"/>
  <c r="E6" i="35" s="1"/>
  <c r="J5" i="37"/>
  <c r="M4" i="35"/>
  <c r="I5" i="34"/>
  <c r="R35" i="33"/>
  <c r="F7" i="29"/>
  <c r="E7" i="29"/>
  <c r="I7" i="29"/>
  <c r="H7" i="29"/>
  <c r="H13" i="29"/>
  <c r="AL34" i="12"/>
  <c r="AL35" i="12"/>
  <c r="AL36" i="12"/>
  <c r="AL37" i="12"/>
  <c r="AL38" i="12"/>
  <c r="AL39" i="12"/>
  <c r="AL42" i="12"/>
  <c r="AL43" i="12"/>
  <c r="AL44" i="12"/>
  <c r="AL46" i="12"/>
  <c r="AL47" i="12"/>
  <c r="AL48" i="12"/>
  <c r="AL49" i="12"/>
  <c r="AL50" i="12"/>
  <c r="AL52" i="12"/>
  <c r="AL53" i="12"/>
  <c r="AL54" i="12"/>
  <c r="AL55" i="12"/>
  <c r="AL56" i="12"/>
  <c r="AL57" i="12"/>
  <c r="AL58" i="12"/>
  <c r="AL59" i="12"/>
  <c r="AL62" i="12"/>
  <c r="AL65" i="12"/>
  <c r="AL66" i="12"/>
  <c r="I26" i="27"/>
  <c r="I25" i="27"/>
  <c r="C4" i="34"/>
  <c r="D10" i="35"/>
  <c r="Q32" i="33"/>
  <c r="O30" i="27"/>
  <c r="AL25" i="12"/>
  <c r="X7" i="12"/>
  <c r="Q20" i="44" s="1"/>
  <c r="W8" i="42"/>
  <c r="V7" i="29"/>
  <c r="W2" i="29"/>
  <c r="V2" i="29"/>
  <c r="I7" i="34" s="1"/>
  <c r="A17" i="37" s="1"/>
  <c r="C12" i="34"/>
  <c r="M10" i="35"/>
  <c r="A10" i="35"/>
  <c r="M3" i="35"/>
  <c r="M5" i="35" s="1"/>
  <c r="I3" i="34"/>
  <c r="C3" i="34"/>
  <c r="C13" i="34"/>
  <c r="L13" i="34" s="1"/>
  <c r="AK79" i="12"/>
  <c r="AI79" i="12"/>
  <c r="C14" i="34"/>
  <c r="P21" i="33"/>
  <c r="F21" i="33"/>
  <c r="F17" i="33"/>
  <c r="R21" i="33" s="1"/>
  <c r="P9" i="33"/>
  <c r="F6" i="33"/>
  <c r="P5" i="33"/>
  <c r="F5" i="33"/>
  <c r="P4" i="33"/>
  <c r="F4" i="33"/>
  <c r="P3" i="33"/>
  <c r="T31" i="32"/>
  <c r="T30" i="32"/>
  <c r="T28" i="32"/>
  <c r="AL17" i="37" s="1"/>
  <c r="T27" i="32"/>
  <c r="AF17" i="37" s="1"/>
  <c r="H7" i="31"/>
  <c r="H7" i="30"/>
  <c r="H7" i="32" s="1"/>
  <c r="R29" i="29"/>
  <c r="O29" i="29"/>
  <c r="I29" i="29"/>
  <c r="G29" i="29"/>
  <c r="A29" i="29"/>
  <c r="V19" i="29"/>
  <c r="T19" i="29"/>
  <c r="R19" i="29"/>
  <c r="L19" i="29"/>
  <c r="K19" i="29"/>
  <c r="I19" i="29"/>
  <c r="G19" i="29"/>
  <c r="E19" i="29"/>
  <c r="C19" i="29"/>
  <c r="W18" i="29"/>
  <c r="W17" i="29"/>
  <c r="R7" i="29"/>
  <c r="S10" i="29" s="1"/>
  <c r="S5" i="29"/>
  <c r="E5" i="29"/>
  <c r="W4" i="29"/>
  <c r="S4" i="29"/>
  <c r="E4" i="29"/>
  <c r="W3" i="29"/>
  <c r="S3" i="29"/>
  <c r="E3" i="29"/>
  <c r="F6" i="27"/>
  <c r="P5" i="27"/>
  <c r="F5" i="27"/>
  <c r="P4" i="27"/>
  <c r="F4" i="27"/>
  <c r="P3" i="27"/>
  <c r="F3" i="27"/>
  <c r="R15" i="3"/>
  <c r="O5" i="3"/>
  <c r="AL27" i="12"/>
  <c r="AL26" i="12"/>
  <c r="AL24" i="12"/>
  <c r="V22" i="3"/>
  <c r="H18" i="3"/>
  <c r="M21" i="3"/>
  <c r="W9" i="29"/>
  <c r="M22" i="3"/>
  <c r="A17" i="12"/>
  <c r="AA17" i="12"/>
  <c r="R12" i="33" s="1"/>
  <c r="V17" i="12"/>
  <c r="O12" i="33" s="1"/>
  <c r="P12" i="47"/>
  <c r="M17" i="12"/>
  <c r="I13" i="27" s="1"/>
  <c r="I17" i="12"/>
  <c r="H12" i="44" s="1"/>
  <c r="E17" i="12"/>
  <c r="F12" i="33" s="1"/>
  <c r="F12" i="47"/>
  <c r="U7" i="12"/>
  <c r="O18" i="33" s="1"/>
  <c r="K31" i="3"/>
  <c r="H55" i="3"/>
  <c r="O55" i="3"/>
  <c r="E30" i="42" s="1"/>
  <c r="V18" i="1"/>
  <c r="Y18" i="1"/>
  <c r="AB18" i="1"/>
  <c r="V17" i="1"/>
  <c r="AB17" i="1"/>
  <c r="V16" i="1"/>
  <c r="Y16" i="1" s="1"/>
  <c r="AB16" i="1"/>
  <c r="V15" i="1"/>
  <c r="AB15" i="1" s="1"/>
  <c r="V14" i="1"/>
  <c r="V13" i="1"/>
  <c r="AB13" i="1" s="1"/>
  <c r="Y13" i="1"/>
  <c r="V12" i="1"/>
  <c r="AB12" i="1"/>
  <c r="Y12" i="1"/>
  <c r="Y17" i="1"/>
  <c r="H58" i="3"/>
  <c r="V30" i="42" s="1"/>
  <c r="U29" i="29"/>
  <c r="N26" i="29"/>
  <c r="V26" i="29"/>
  <c r="H53" i="3"/>
  <c r="L14" i="39" s="1"/>
  <c r="G57" i="7"/>
  <c r="J57" i="7"/>
  <c r="G56" i="7"/>
  <c r="J56" i="7"/>
  <c r="G55" i="7"/>
  <c r="J55" i="7"/>
  <c r="G54" i="7"/>
  <c r="J54" i="7"/>
  <c r="G53" i="7"/>
  <c r="J53" i="7"/>
  <c r="G52" i="7"/>
  <c r="J52" i="7"/>
  <c r="Y36" i="1"/>
  <c r="N5" i="1"/>
  <c r="Y35" i="1"/>
  <c r="Y32" i="1"/>
  <c r="J30" i="1"/>
  <c r="AH10" i="1"/>
  <c r="J25" i="1"/>
  <c r="F17" i="1"/>
  <c r="F16" i="1"/>
  <c r="L16" i="1"/>
  <c r="F15" i="1"/>
  <c r="L15" i="1" s="1"/>
  <c r="F14" i="1"/>
  <c r="L14" i="1"/>
  <c r="F13" i="1"/>
  <c r="F12" i="1"/>
  <c r="L12" i="1"/>
  <c r="AM10" i="1"/>
  <c r="AB7" i="1"/>
  <c r="I15" i="1"/>
  <c r="I14" i="1"/>
  <c r="J97" i="3"/>
  <c r="W19" i="29"/>
  <c r="R11" i="39"/>
  <c r="AB5" i="1"/>
  <c r="I16" i="1"/>
  <c r="I12" i="1"/>
  <c r="AG6" i="41"/>
  <c r="AG7" i="41" s="1"/>
  <c r="F41" i="3"/>
  <c r="AD25" i="32"/>
  <c r="AL17" i="40"/>
  <c r="AL72" i="12"/>
  <c r="AL32" i="12"/>
  <c r="AL33" i="12"/>
  <c r="L14" i="34"/>
  <c r="H12" i="33"/>
  <c r="I14" i="34"/>
  <c r="K14" i="7"/>
  <c r="U15" i="30"/>
  <c r="F12" i="46"/>
  <c r="P12" i="46"/>
  <c r="O35" i="33"/>
  <c r="R38" i="44"/>
  <c r="O38" i="44"/>
  <c r="K38" i="44"/>
  <c r="K34" i="27"/>
  <c r="R34" i="27"/>
  <c r="K35" i="33"/>
  <c r="O34" i="27"/>
  <c r="S6" i="3"/>
  <c r="M15" i="42"/>
  <c r="L14" i="29"/>
  <c r="L12" i="29"/>
  <c r="N15" i="40"/>
  <c r="J94" i="3"/>
  <c r="AL23" i="12" s="1"/>
  <c r="L22" i="42"/>
  <c r="H21" i="42"/>
  <c r="J22" i="42"/>
  <c r="I20" i="29"/>
  <c r="G20" i="29"/>
  <c r="J21" i="42"/>
  <c r="I21" i="29"/>
  <c r="H22" i="42"/>
  <c r="G21" i="29"/>
  <c r="K21" i="29"/>
  <c r="I14" i="40"/>
  <c r="F19" i="40" s="1"/>
  <c r="G18" i="40" s="1"/>
  <c r="I25" i="33" l="1"/>
  <c r="I22" i="27"/>
  <c r="P12" i="44"/>
  <c r="J4" i="37"/>
  <c r="H12" i="47"/>
  <c r="F13" i="27"/>
  <c r="M9" i="46"/>
  <c r="S22" i="27"/>
  <c r="M9" i="47"/>
  <c r="Q14" i="30"/>
  <c r="AF14" i="30"/>
  <c r="P11" i="7"/>
  <c r="V13" i="7" s="1"/>
  <c r="H24" i="33"/>
  <c r="I24" i="33"/>
  <c r="I34" i="47"/>
  <c r="S34" i="47"/>
  <c r="O24" i="32"/>
  <c r="I43" i="3"/>
  <c r="M44" i="3"/>
  <c r="D40" i="3"/>
  <c r="F42" i="3"/>
  <c r="M10" i="42"/>
  <c r="M13" i="42" s="1"/>
  <c r="AL16" i="40"/>
  <c r="AD24" i="32"/>
  <c r="H99" i="3"/>
  <c r="H74" i="3"/>
  <c r="N20" i="42"/>
  <c r="H12" i="46"/>
  <c r="U28" i="42"/>
  <c r="F43" i="3"/>
  <c r="K44" i="3"/>
  <c r="F44" i="3"/>
  <c r="U16" i="40"/>
  <c r="J7" i="40"/>
  <c r="E9" i="29"/>
  <c r="D44" i="3"/>
  <c r="AL12" i="37"/>
  <c r="Y17" i="37" s="1"/>
  <c r="C5" i="34"/>
  <c r="X12" i="30"/>
  <c r="AA19" i="3"/>
  <c r="E10" i="29"/>
  <c r="E13" i="29"/>
  <c r="D43" i="3"/>
  <c r="D42" i="3"/>
  <c r="J12" i="47"/>
  <c r="J12" i="44"/>
  <c r="L12" i="40"/>
  <c r="F10" i="42"/>
  <c r="F13" i="34"/>
  <c r="Q22" i="47"/>
  <c r="H15" i="32"/>
  <c r="O9" i="46"/>
  <c r="R15" i="33"/>
  <c r="K43" i="3"/>
  <c r="I44" i="3"/>
  <c r="I42" i="3"/>
  <c r="J24" i="1"/>
  <c r="T10" i="42"/>
  <c r="I14" i="44"/>
  <c r="W19" i="3"/>
  <c r="I14" i="46"/>
  <c r="I14" i="47"/>
  <c r="H19" i="3"/>
  <c r="AG20" i="12"/>
  <c r="G10" i="34"/>
  <c r="K15" i="27"/>
  <c r="J23" i="1"/>
  <c r="S12" i="44"/>
  <c r="S12" i="46"/>
  <c r="R13" i="27"/>
  <c r="S12" i="47"/>
  <c r="F32" i="33"/>
  <c r="E12" i="29"/>
  <c r="O19" i="27"/>
  <c r="Q19" i="46"/>
  <c r="R19" i="27"/>
  <c r="F14" i="42"/>
  <c r="L17" i="1"/>
  <c r="I17" i="1"/>
  <c r="BE10" i="1" s="1"/>
  <c r="I13" i="1"/>
  <c r="L13" i="1"/>
  <c r="M11" i="42"/>
  <c r="M12" i="42" s="1"/>
  <c r="L10" i="29"/>
  <c r="AA14" i="30"/>
  <c r="Q13" i="7"/>
  <c r="W13" i="39"/>
  <c r="D29" i="29"/>
  <c r="G13" i="34"/>
  <c r="I13" i="34"/>
  <c r="Q15" i="27"/>
  <c r="F12" i="44"/>
  <c r="J12" i="33"/>
  <c r="J12" i="46"/>
  <c r="F14" i="34"/>
  <c r="G14" i="34"/>
  <c r="W4" i="32"/>
  <c r="W5" i="32" s="1"/>
  <c r="F7" i="42"/>
  <c r="E6" i="29"/>
  <c r="AG5" i="39"/>
  <c r="W4" i="31"/>
  <c r="W5" i="31" s="1"/>
  <c r="T27" i="29"/>
  <c r="Y14" i="1"/>
  <c r="AB14" i="1"/>
  <c r="Q17" i="37"/>
  <c r="L17" i="37"/>
  <c r="F12" i="34"/>
  <c r="L12" i="34"/>
  <c r="I12" i="34"/>
  <c r="G12" i="34"/>
  <c r="Y15" i="1"/>
  <c r="F13" i="42"/>
  <c r="Q21" i="47"/>
  <c r="Q19" i="44"/>
  <c r="I23" i="27"/>
  <c r="I32" i="47"/>
  <c r="S31" i="47"/>
  <c r="O33" i="47"/>
  <c r="AR17" i="37"/>
  <c r="H32" i="47"/>
  <c r="S32" i="47"/>
  <c r="E13" i="39"/>
  <c r="S18" i="33"/>
  <c r="Q20" i="46"/>
  <c r="O13" i="27"/>
  <c r="I31" i="47"/>
  <c r="O14" i="33"/>
  <c r="S24" i="27"/>
  <c r="O31" i="47"/>
  <c r="H22" i="27"/>
  <c r="O25" i="33"/>
  <c r="H20" i="3"/>
  <c r="H31" i="47"/>
  <c r="L33" i="47"/>
  <c r="I33" i="47"/>
  <c r="O34" i="47"/>
  <c r="D13" i="7"/>
  <c r="H25" i="33"/>
  <c r="I16" i="42"/>
  <c r="L32" i="47"/>
  <c r="H33" i="47"/>
  <c r="S33" i="47"/>
  <c r="O32" i="47"/>
  <c r="H34" i="47"/>
  <c r="O9" i="47"/>
  <c r="L31" i="47"/>
  <c r="F11" i="42"/>
  <c r="AL28" i="12"/>
  <c r="W6" i="30"/>
  <c r="W6" i="32" s="1"/>
  <c r="F34" i="44"/>
  <c r="M6" i="35"/>
  <c r="F71" i="46"/>
  <c r="U8" i="12"/>
  <c r="F30" i="27" s="1"/>
  <c r="W6" i="31"/>
  <c r="AL68" i="12"/>
  <c r="AL70" i="12"/>
  <c r="AL45" i="12"/>
  <c r="AL71" i="12"/>
  <c r="O24" i="33"/>
  <c r="H23" i="27"/>
  <c r="O23" i="27"/>
  <c r="O26" i="33"/>
  <c r="S26" i="33"/>
  <c r="S23" i="27"/>
  <c r="I26" i="33"/>
  <c r="I24" i="27"/>
  <c r="O22" i="27"/>
  <c r="H24" i="27"/>
  <c r="O24" i="27"/>
  <c r="S25" i="33"/>
  <c r="E4" i="35"/>
  <c r="H26" i="33"/>
  <c r="S24" i="33"/>
  <c r="U11" i="12" l="1"/>
  <c r="F10" i="44" s="1"/>
  <c r="N35" i="3"/>
  <c r="AD23" i="32"/>
  <c r="AL15" i="40"/>
  <c r="I23" i="32"/>
  <c r="U17" i="37"/>
  <c r="AE19" i="3"/>
  <c r="J26" i="1"/>
  <c r="J28" i="1" s="1"/>
  <c r="AY10" i="1" s="1"/>
  <c r="Q17" i="12"/>
  <c r="Q13" i="39"/>
  <c r="F11" i="39" s="1"/>
  <c r="T29" i="30"/>
  <c r="AC25" i="39"/>
  <c r="AC24" i="41"/>
  <c r="U15" i="41"/>
  <c r="E13" i="41"/>
  <c r="Z12" i="40"/>
  <c r="U16" i="39"/>
  <c r="S15" i="32"/>
  <c r="J19" i="1"/>
  <c r="N13" i="7"/>
  <c r="Q14" i="31"/>
  <c r="V6" i="29"/>
  <c r="T29" i="31"/>
  <c r="Y17" i="31"/>
  <c r="Y14" i="30"/>
  <c r="Q11" i="30" s="1"/>
  <c r="H59" i="3"/>
  <c r="Y17" i="30"/>
  <c r="V7" i="42"/>
  <c r="AG5" i="41"/>
  <c r="AG5" i="40"/>
  <c r="F10" i="27" l="1"/>
  <c r="F10" i="33"/>
  <c r="F10" i="47"/>
  <c r="F10" i="46"/>
  <c r="X23" i="42"/>
  <c r="T23" i="29"/>
  <c r="P77" i="3"/>
  <c r="G23" i="29"/>
  <c r="L76" i="3"/>
  <c r="L77" i="3"/>
  <c r="J80" i="3"/>
  <c r="J83" i="3" s="1"/>
  <c r="K22" i="29"/>
  <c r="R75" i="3"/>
  <c r="L80" i="3"/>
  <c r="L83" i="3" s="1"/>
  <c r="R79" i="3"/>
  <c r="N76" i="3"/>
  <c r="L74" i="3"/>
  <c r="P80" i="3"/>
  <c r="P83" i="3" s="1"/>
  <c r="N80" i="3"/>
  <c r="K20" i="29"/>
  <c r="P76" i="3"/>
  <c r="S21" i="42"/>
  <c r="N77" i="3"/>
  <c r="R21" i="29"/>
  <c r="N74" i="3"/>
  <c r="P74" i="3"/>
  <c r="N83" i="3"/>
  <c r="C21" i="29"/>
  <c r="M22" i="42"/>
  <c r="E21" i="29"/>
  <c r="F24" i="42"/>
  <c r="X24" i="42"/>
  <c r="J37" i="1"/>
  <c r="F16" i="46"/>
  <c r="AO19" i="3"/>
  <c r="F16" i="47"/>
  <c r="F10" i="7"/>
  <c r="H27" i="42"/>
  <c r="G26" i="29"/>
  <c r="AI19" i="3"/>
  <c r="F16" i="44"/>
  <c r="H83" i="3"/>
  <c r="R17" i="3"/>
  <c r="T12" i="33"/>
  <c r="N17" i="27"/>
  <c r="AM12" i="40"/>
  <c r="Q23" i="39"/>
  <c r="O22" i="39"/>
  <c r="H24" i="42"/>
  <c r="Y19" i="1"/>
  <c r="AV11" i="1"/>
  <c r="R78" i="3"/>
  <c r="V23" i="30"/>
  <c r="W24" i="30"/>
  <c r="AC15" i="32"/>
  <c r="V20" i="29"/>
  <c r="X21" i="42"/>
  <c r="N21" i="42"/>
  <c r="J74" i="3"/>
  <c r="AK63" i="12"/>
  <c r="AK65" i="12"/>
  <c r="AK62" i="12"/>
  <c r="AK60" i="12"/>
  <c r="AK70" i="12"/>
  <c r="AK68" i="12"/>
  <c r="L12" i="33"/>
  <c r="M12" i="47"/>
  <c r="AK57" i="12"/>
  <c r="AK58" i="12"/>
  <c r="L13" i="27"/>
  <c r="M12" i="44"/>
  <c r="AK55" i="12"/>
  <c r="M12" i="46"/>
  <c r="AK59" i="12"/>
  <c r="AK71" i="12"/>
  <c r="AK61" i="12"/>
  <c r="AK69" i="12"/>
  <c r="AK66" i="12"/>
  <c r="AK54" i="12"/>
  <c r="AK56" i="12"/>
  <c r="I23" i="29" l="1"/>
  <c r="L24" i="42"/>
  <c r="P22" i="29"/>
  <c r="K23" i="29"/>
  <c r="K24" i="29" s="1"/>
  <c r="U23" i="42"/>
  <c r="J24" i="42"/>
  <c r="U22" i="42"/>
  <c r="C23" i="29"/>
  <c r="L20" i="29"/>
  <c r="L23" i="42"/>
  <c r="T22" i="29"/>
  <c r="R88" i="3"/>
  <c r="M20" i="29"/>
  <c r="J23" i="42"/>
  <c r="J26" i="42" s="1"/>
  <c r="N23" i="42"/>
  <c r="Q24" i="42"/>
  <c r="W23" i="42"/>
  <c r="M24" i="42"/>
  <c r="Q23" i="42"/>
  <c r="P21" i="29"/>
  <c r="W20" i="29"/>
  <c r="N24" i="42"/>
  <c r="R22" i="29"/>
  <c r="C20" i="29"/>
  <c r="G22" i="29"/>
  <c r="G25" i="29" s="1"/>
  <c r="O24" i="42"/>
  <c r="W24" i="42"/>
  <c r="M23" i="29"/>
  <c r="R72" i="3"/>
  <c r="R20" i="29"/>
  <c r="I22" i="29"/>
  <c r="I24" i="29" s="1"/>
  <c r="S24" i="42"/>
  <c r="R23" i="29"/>
  <c r="W22" i="29"/>
  <c r="N22" i="29"/>
  <c r="C22" i="29"/>
  <c r="C24" i="29" s="1"/>
  <c r="R71" i="3"/>
  <c r="J27" i="1" s="1"/>
  <c r="AV10" i="1" s="1"/>
  <c r="R73" i="3"/>
  <c r="R84" i="3"/>
  <c r="V12" i="42" s="1"/>
  <c r="W21" i="42"/>
  <c r="E20" i="29"/>
  <c r="H23" i="42"/>
  <c r="H26" i="42" s="1"/>
  <c r="P23" i="29"/>
  <c r="D24" i="42"/>
  <c r="S23" i="42"/>
  <c r="D23" i="42"/>
  <c r="O23" i="42"/>
  <c r="M21" i="42"/>
  <c r="U21" i="42"/>
  <c r="H76" i="3"/>
  <c r="W23" i="29"/>
  <c r="U24" i="42"/>
  <c r="E22" i="29"/>
  <c r="E24" i="29" s="1"/>
  <c r="L22" i="29"/>
  <c r="M22" i="29"/>
  <c r="R89" i="3"/>
  <c r="R74" i="3"/>
  <c r="Q29" i="30" s="1"/>
  <c r="D21" i="42"/>
  <c r="R80" i="3"/>
  <c r="Y27" i="42" s="1"/>
  <c r="R70" i="3"/>
  <c r="S19" i="39" s="1"/>
  <c r="L23" i="29"/>
  <c r="E23" i="29"/>
  <c r="E25" i="29" s="1"/>
  <c r="F23" i="42"/>
  <c r="M23" i="42"/>
  <c r="T20" i="29"/>
  <c r="F21" i="42"/>
  <c r="V23" i="29"/>
  <c r="N23" i="29"/>
  <c r="V22" i="29"/>
  <c r="V21" i="29"/>
  <c r="W22" i="42"/>
  <c r="D22" i="42"/>
  <c r="N21" i="29"/>
  <c r="S22" i="42"/>
  <c r="S26" i="42" s="1"/>
  <c r="L21" i="42"/>
  <c r="L26" i="42" s="1"/>
  <c r="X22" i="42"/>
  <c r="X25" i="42" s="1"/>
  <c r="N22" i="42"/>
  <c r="R69" i="3"/>
  <c r="M21" i="29"/>
  <c r="M24" i="29" s="1"/>
  <c r="Q22" i="42"/>
  <c r="F22" i="42"/>
  <c r="O22" i="42"/>
  <c r="L21" i="29"/>
  <c r="T21" i="29"/>
  <c r="T25" i="29" s="1"/>
  <c r="W21" i="29"/>
  <c r="W24" i="29" s="1"/>
  <c r="U71" i="3"/>
  <c r="W14" i="31" s="1"/>
  <c r="J22" i="1"/>
  <c r="M30" i="31"/>
  <c r="S25" i="41"/>
  <c r="M30" i="30"/>
  <c r="S26" i="39"/>
  <c r="Z20" i="30"/>
  <c r="H81" i="3"/>
  <c r="N81" i="3"/>
  <c r="P81" i="3"/>
  <c r="Q15" i="39"/>
  <c r="F16" i="39" s="1"/>
  <c r="Q14" i="41"/>
  <c r="F15" i="41" s="1"/>
  <c r="J81" i="3"/>
  <c r="L81" i="3"/>
  <c r="AF16" i="31"/>
  <c r="Q17" i="31" s="1"/>
  <c r="AF16" i="30"/>
  <c r="Q17" i="30" s="1"/>
  <c r="S7" i="1"/>
  <c r="BA10" i="1"/>
  <c r="J29" i="1"/>
  <c r="AY11" i="1" s="1"/>
  <c r="J76" i="3"/>
  <c r="J33" i="1"/>
  <c r="S5" i="1" s="1"/>
  <c r="Y31" i="1"/>
  <c r="X7" i="1" s="1"/>
  <c r="X25" i="39"/>
  <c r="J20" i="1"/>
  <c r="Q29" i="31"/>
  <c r="X24" i="41"/>
  <c r="AJ42" i="42"/>
  <c r="I38" i="42" s="1"/>
  <c r="Q23" i="30"/>
  <c r="Z22" i="30" s="1"/>
  <c r="J29" i="30" s="1"/>
  <c r="F22" i="39"/>
  <c r="Q21" i="39" s="1"/>
  <c r="N25" i="39" s="1"/>
  <c r="S24" i="41"/>
  <c r="R83" i="3"/>
  <c r="Q23" i="31"/>
  <c r="G24" i="29"/>
  <c r="R76" i="3" l="1"/>
  <c r="K25" i="29"/>
  <c r="F21" i="41"/>
  <c r="W10" i="29"/>
  <c r="R81" i="3"/>
  <c r="R82" i="3" s="1"/>
  <c r="E29" i="30"/>
  <c r="U26" i="42"/>
  <c r="R25" i="29"/>
  <c r="M26" i="42"/>
  <c r="L24" i="29"/>
  <c r="M29" i="31"/>
  <c r="F25" i="39"/>
  <c r="F26" i="42"/>
  <c r="T24" i="29"/>
  <c r="F16" i="40"/>
  <c r="I25" i="32"/>
  <c r="H30" i="30"/>
  <c r="H30" i="31"/>
  <c r="R24" i="29"/>
  <c r="I25" i="29"/>
  <c r="M29" i="30"/>
  <c r="D24" i="32"/>
  <c r="U84" i="3"/>
  <c r="V30" i="30" s="1"/>
  <c r="N17" i="40"/>
  <c r="S18" i="41"/>
  <c r="U11" i="29"/>
  <c r="AA17" i="31"/>
  <c r="Z20" i="31"/>
  <c r="O17" i="39"/>
  <c r="H15" i="39" s="1"/>
  <c r="P20" i="39" s="1"/>
  <c r="S25" i="39"/>
  <c r="AA16" i="39"/>
  <c r="T13" i="40"/>
  <c r="D25" i="42"/>
  <c r="L25" i="29"/>
  <c r="I16" i="44"/>
  <c r="J13" i="41"/>
  <c r="AA15" i="41"/>
  <c r="H14" i="41" s="1"/>
  <c r="P19" i="41" s="1"/>
  <c r="F24" i="41"/>
  <c r="L14" i="33"/>
  <c r="N26" i="39"/>
  <c r="AE12" i="40"/>
  <c r="U18" i="30"/>
  <c r="D4" i="24"/>
  <c r="E4" i="24" s="1"/>
  <c r="T13" i="31" s="1"/>
  <c r="O16" i="41"/>
  <c r="J34" i="1"/>
  <c r="Y34" i="1" s="1"/>
  <c r="X5" i="1" s="1"/>
  <c r="J17" i="27"/>
  <c r="X11" i="42"/>
  <c r="N16" i="32"/>
  <c r="U18" i="31"/>
  <c r="AA17" i="30"/>
  <c r="V15" i="32"/>
  <c r="I16" i="47"/>
  <c r="N25" i="41"/>
  <c r="E29" i="31"/>
  <c r="I16" i="46"/>
  <c r="H85" i="3"/>
  <c r="N85" i="3"/>
  <c r="N86" i="3" s="1"/>
  <c r="F19" i="39"/>
  <c r="L82" i="3"/>
  <c r="Q20" i="31"/>
  <c r="J85" i="3"/>
  <c r="X6" i="42"/>
  <c r="N82" i="3"/>
  <c r="Q20" i="30"/>
  <c r="F18" i="41"/>
  <c r="P82" i="3"/>
  <c r="J82" i="3"/>
  <c r="H82" i="3"/>
  <c r="W5" i="29"/>
  <c r="AK10" i="1"/>
  <c r="P85" i="3"/>
  <c r="P86" i="3" s="1"/>
  <c r="L85" i="3"/>
  <c r="L86" i="3" s="1"/>
  <c r="AQ10" i="1"/>
  <c r="Y20" i="1"/>
  <c r="J7" i="1" s="1"/>
  <c r="AQ11" i="1" l="1"/>
  <c r="S16" i="31"/>
  <c r="V21" i="31" s="1"/>
  <c r="V13" i="42"/>
  <c r="U12" i="29"/>
  <c r="AC25" i="41"/>
  <c r="V30" i="31"/>
  <c r="AC26" i="39"/>
  <c r="S16" i="30"/>
  <c r="V21" i="30" s="1"/>
  <c r="S19" i="30" s="1"/>
  <c r="D15" i="32" s="1"/>
  <c r="G14" i="32" s="1"/>
  <c r="L30" i="32" s="1"/>
  <c r="M29" i="32" s="1"/>
  <c r="X29" i="32" s="1"/>
  <c r="G12" i="41"/>
  <c r="F11" i="41" s="1"/>
  <c r="O21" i="41" s="1"/>
  <c r="Q59" i="3"/>
  <c r="H18" i="39"/>
  <c r="F17" i="27" s="1"/>
  <c r="A6" i="1"/>
  <c r="AH8" i="1"/>
  <c r="P87" i="3"/>
  <c r="L87" i="3"/>
  <c r="N87" i="3"/>
  <c r="H90" i="3"/>
  <c r="R30" i="31"/>
  <c r="W25" i="41"/>
  <c r="R30" i="30"/>
  <c r="M16" i="46"/>
  <c r="W26" i="39"/>
  <c r="M16" i="47"/>
  <c r="T14" i="33"/>
  <c r="M16" i="44"/>
  <c r="J86" i="3"/>
  <c r="O21" i="42"/>
  <c r="N20" i="29"/>
  <c r="S19" i="31"/>
  <c r="Q11" i="31"/>
  <c r="AD13" i="31"/>
  <c r="H17" i="41"/>
  <c r="H86" i="3"/>
  <c r="H77" i="3" s="1"/>
  <c r="N19" i="29"/>
  <c r="O20" i="42"/>
  <c r="R85" i="3"/>
  <c r="Q22" i="41" l="1"/>
  <c r="F12" i="40"/>
  <c r="I11" i="40" s="1"/>
  <c r="J18" i="27" s="1"/>
  <c r="Q20" i="41"/>
  <c r="N24" i="41" s="1"/>
  <c r="V23" i="31"/>
  <c r="W24" i="31"/>
  <c r="N24" i="29"/>
  <c r="N25" i="29"/>
  <c r="Q21" i="42"/>
  <c r="P20" i="29"/>
  <c r="J87" i="3"/>
  <c r="O26" i="42"/>
  <c r="J77" i="3"/>
  <c r="R77" i="3"/>
  <c r="R91" i="3" s="1"/>
  <c r="Q20" i="42"/>
  <c r="R86" i="3"/>
  <c r="P19" i="29"/>
  <c r="H87" i="3"/>
  <c r="Q26" i="42" l="1"/>
  <c r="F22" i="40"/>
  <c r="H21" i="40" s="1"/>
  <c r="I14" i="33" s="1"/>
  <c r="R11" i="40"/>
  <c r="M14" i="47" s="1"/>
  <c r="F14" i="33"/>
  <c r="P25" i="29"/>
  <c r="P24" i="29"/>
  <c r="Z22" i="31"/>
  <c r="J29" i="31" s="1"/>
  <c r="X29" i="31"/>
  <c r="S24" i="32"/>
  <c r="I22" i="32" s="1"/>
  <c r="L27" i="32" s="1"/>
  <c r="AA16" i="40"/>
  <c r="U86" i="3"/>
  <c r="L94" i="3" s="1"/>
  <c r="W86" i="3"/>
  <c r="W88" i="3" s="1"/>
  <c r="U88" i="3" s="1"/>
  <c r="AH25" i="39"/>
  <c r="M24" i="39" s="1"/>
  <c r="AH24" i="41"/>
  <c r="M23" i="41" s="1"/>
  <c r="X29" i="30"/>
  <c r="I28" i="30" s="1"/>
  <c r="R87" i="3"/>
  <c r="M14" i="46" l="1"/>
  <c r="Q21" i="40"/>
  <c r="M14" i="44"/>
  <c r="U14" i="29"/>
  <c r="V15" i="42"/>
  <c r="U81" i="3"/>
  <c r="U8" i="29"/>
  <c r="V9" i="42"/>
  <c r="I28" i="31"/>
  <c r="F15" i="27" l="1"/>
  <c r="R14" i="44"/>
  <c r="R14" i="47"/>
  <c r="R14" i="46"/>
</calcChain>
</file>

<file path=xl/sharedStrings.xml><?xml version="1.0" encoding="utf-8"?>
<sst xmlns="http://schemas.openxmlformats.org/spreadsheetml/2006/main" count="3403" uniqueCount="1297">
  <si>
    <t>Nozzle Size</t>
    <phoneticPr fontId="2" type="noConversion"/>
  </si>
  <si>
    <t>=</t>
    <phoneticPr fontId="2" type="noConversion"/>
  </si>
  <si>
    <t>inchHg</t>
    <phoneticPr fontId="2" type="noConversion"/>
  </si>
  <si>
    <t>대기압</t>
    <phoneticPr fontId="2" type="noConversion"/>
  </si>
  <si>
    <t>동압</t>
    <phoneticPr fontId="2" type="noConversion"/>
  </si>
  <si>
    <t>수분량</t>
    <phoneticPr fontId="2" type="noConversion"/>
  </si>
  <si>
    <t>O2%</t>
    <phoneticPr fontId="2" type="noConversion"/>
  </si>
  <si>
    <t>CO2%</t>
    <phoneticPr fontId="2" type="noConversion"/>
  </si>
  <si>
    <t>N2%</t>
    <phoneticPr fontId="2" type="noConversion"/>
  </si>
  <si>
    <t>CO%</t>
    <phoneticPr fontId="2" type="noConversion"/>
  </si>
  <si>
    <t>Md</t>
    <phoneticPr fontId="2" type="noConversion"/>
  </si>
  <si>
    <t>Ms</t>
    <phoneticPr fontId="2" type="noConversion"/>
  </si>
  <si>
    <t>G.A.P(Ps)</t>
    <phoneticPr fontId="2" type="noConversion"/>
  </si>
  <si>
    <r>
      <t>동압(</t>
    </r>
    <r>
      <rPr>
        <b/>
        <sz val="11"/>
        <color theme="1"/>
        <rFont val="맑은 고딕"/>
        <family val="3"/>
        <charset val="129"/>
      </rPr>
      <t>Δp)</t>
    </r>
    <phoneticPr fontId="2" type="noConversion"/>
  </si>
  <si>
    <t>A.M.P(Pm)</t>
    <phoneticPr fontId="2" type="noConversion"/>
  </si>
  <si>
    <t>:</t>
    <phoneticPr fontId="2" type="noConversion"/>
  </si>
  <si>
    <t>1.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</si>
  <si>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</si>
  <si>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</si>
  <si>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</si>
  <si>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5.</t>
    <phoneticPr fontId="2" type="noConversion"/>
  </si>
  <si>
    <t>6.</t>
    <phoneticPr fontId="2" type="noConversion"/>
  </si>
  <si>
    <t>7.</t>
    <phoneticPr fontId="2" type="noConversion"/>
  </si>
  <si>
    <t>8.</t>
    <phoneticPr fontId="2" type="noConversion"/>
  </si>
  <si>
    <t>9.</t>
    <phoneticPr fontId="2" type="noConversion"/>
  </si>
  <si>
    <t>10.</t>
    <phoneticPr fontId="2" type="noConversion"/>
  </si>
  <si>
    <t>11.</t>
    <phoneticPr fontId="2" type="noConversion"/>
  </si>
  <si>
    <t>12.</t>
    <phoneticPr fontId="2" type="noConversion"/>
  </si>
  <si>
    <t>13.</t>
    <phoneticPr fontId="2" type="noConversion"/>
  </si>
  <si>
    <t>14.</t>
    <phoneticPr fontId="2" type="noConversion"/>
  </si>
  <si>
    <t>℉</t>
    <phoneticPr fontId="2" type="noConversion"/>
  </si>
  <si>
    <t>배가스온도(Ts)</t>
    <phoneticPr fontId="2" type="noConversion"/>
  </si>
  <si>
    <r>
      <t>오리피스차압</t>
    </r>
    <r>
      <rPr>
        <b/>
        <sz val="11"/>
        <color theme="1"/>
        <rFont val="맑은 고딕"/>
        <family val="3"/>
        <charset val="129"/>
      </rPr>
      <t>ΔH</t>
    </r>
    <phoneticPr fontId="2" type="noConversion"/>
  </si>
  <si>
    <t>가스메타온도™</t>
    <phoneticPr fontId="2" type="noConversion"/>
  </si>
  <si>
    <t>15.</t>
    <phoneticPr fontId="2" type="noConversion"/>
  </si>
  <si>
    <t>16.</t>
    <phoneticPr fontId="2" type="noConversion"/>
  </si>
  <si>
    <t>17.</t>
    <phoneticPr fontId="2" type="noConversion"/>
  </si>
  <si>
    <t>포집유량(Qm)</t>
    <phoneticPr fontId="2" type="noConversion"/>
  </si>
  <si>
    <t>mmHg</t>
    <phoneticPr fontId="2" type="noConversion"/>
  </si>
  <si>
    <t>℃</t>
    <phoneticPr fontId="2" type="noConversion"/>
  </si>
  <si>
    <t>mmH2O</t>
    <phoneticPr fontId="2" type="noConversion"/>
  </si>
  <si>
    <t>%</t>
    <phoneticPr fontId="2" type="noConversion"/>
  </si>
  <si>
    <r>
      <t>Ft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3</t>
    </r>
    <phoneticPr fontId="2" type="noConversion"/>
  </si>
  <si>
    <t>18.</t>
    <phoneticPr fontId="2" type="noConversion"/>
  </si>
  <si>
    <t>수분량(Bws)</t>
    <phoneticPr fontId="2" type="noConversion"/>
  </si>
  <si>
    <r>
      <t>inch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phoneticPr fontId="2" type="noConversion"/>
  </si>
  <si>
    <t>:</t>
  </si>
  <si>
    <t>측정점</t>
    <phoneticPr fontId="2" type="noConversion"/>
  </si>
  <si>
    <t>평균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</si>
  <si>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</si>
  <si>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</si>
  <si>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</si>
  <si>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</si>
  <si>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</si>
  <si>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계    산    식</t>
    <phoneticPr fontId="2" type="noConversion"/>
  </si>
  <si>
    <t>수분량(%)</t>
    <phoneticPr fontId="2" type="noConversion"/>
  </si>
  <si>
    <t>+</t>
    <phoneticPr fontId="2" type="noConversion"/>
  </si>
  <si>
    <t>X</t>
  </si>
  <si>
    <t>X</t>
    <phoneticPr fontId="2" type="noConversion"/>
  </si>
  <si>
    <t>Θm</t>
    <phoneticPr fontId="2" type="noConversion"/>
  </si>
  <si>
    <r>
      <rPr>
        <sz val="12"/>
        <color theme="1"/>
        <rFont val="Bernard MT Condensed"/>
        <family val="1"/>
      </rPr>
      <t>V</t>
    </r>
    <r>
      <rPr>
        <sz val="10"/>
        <color theme="1"/>
        <rFont val="맑은 고딕"/>
        <family val="3"/>
        <charset val="129"/>
        <scheme val="minor"/>
      </rPr>
      <t>m</t>
    </r>
    <phoneticPr fontId="2" type="noConversion"/>
  </si>
  <si>
    <r>
      <t>P</t>
    </r>
    <r>
      <rPr>
        <vertAlign val="subscript"/>
        <sz val="10"/>
        <color theme="1"/>
        <rFont val="맑은 고딕"/>
        <family val="3"/>
        <charset val="129"/>
        <scheme val="minor"/>
      </rPr>
      <t>m</t>
    </r>
    <phoneticPr fontId="2" type="noConversion"/>
  </si>
  <si>
    <r>
      <rPr>
        <sz val="11"/>
        <color theme="1"/>
        <rFont val="Bernard MT Condensed"/>
        <family val="1"/>
      </rPr>
      <t>P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2" type="noConversion"/>
  </si>
  <si>
    <r>
      <rPr>
        <sz val="11"/>
        <color theme="1"/>
        <rFont val="Bernard MT Condensed"/>
        <family val="1"/>
      </rPr>
      <t>m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2" type="noConversion"/>
  </si>
  <si>
    <r>
      <rPr>
        <sz val="11"/>
        <color theme="1"/>
        <rFont val="Bernard MT Condensed"/>
        <family val="1"/>
      </rPr>
      <t>X</t>
    </r>
    <r>
      <rPr>
        <sz val="10"/>
        <color theme="1"/>
        <rFont val="맑은 고딕"/>
        <family val="2"/>
        <charset val="129"/>
        <scheme val="minor"/>
      </rPr>
      <t>w</t>
    </r>
    <phoneticPr fontId="2" type="noConversion"/>
  </si>
  <si>
    <t>배출가스밀도  (kg/m3)</t>
    <phoneticPr fontId="2" type="noConversion"/>
  </si>
  <si>
    <t>273+</t>
    <phoneticPr fontId="2" type="noConversion"/>
  </si>
  <si>
    <t>Θs</t>
    <phoneticPr fontId="2" type="noConversion"/>
  </si>
  <si>
    <r>
      <rPr>
        <sz val="12"/>
        <color theme="1"/>
        <rFont val="맑은 고딕"/>
        <family val="3"/>
        <charset val="129"/>
        <scheme val="minor"/>
      </rPr>
      <t>r</t>
    </r>
    <r>
      <rPr>
        <sz val="10"/>
        <color theme="1"/>
        <rFont val="맑은 고딕"/>
        <family val="2"/>
        <charset val="129"/>
        <scheme val="minor"/>
      </rPr>
      <t>o</t>
    </r>
    <r>
      <rPr>
        <sz val="10"/>
        <color theme="1"/>
        <rFont val="맑은 고딕"/>
        <family val="3"/>
        <charset val="129"/>
      </rPr>
      <t>X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</si>
  <si>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>r</t>
    </r>
    <r>
      <rPr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</si>
  <si>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t>Pa+</t>
    <phoneticPr fontId="2" type="noConversion"/>
  </si>
  <si>
    <t>Ps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</si>
  <si>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v</t>
    </r>
    <r>
      <rPr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</si>
  <si>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t>C</t>
    <phoneticPr fontId="2" type="noConversion"/>
  </si>
  <si>
    <t>2gh</t>
    <phoneticPr fontId="2" type="noConversion"/>
  </si>
  <si>
    <t>r</t>
    <phoneticPr fontId="2" type="noConversion"/>
  </si>
  <si>
    <t>배출가스유속</t>
    <phoneticPr fontId="2" type="noConversion"/>
  </si>
  <si>
    <t>임핀저와 실리카겔에 채취된 물의 총량(mL)</t>
    <phoneticPr fontId="2" type="noConversion"/>
  </si>
  <si>
    <r>
      <rPr>
        <b/>
        <sz val="10"/>
        <color theme="1"/>
        <rFont val="HY견명조"/>
        <family val="1"/>
        <charset val="129"/>
      </rPr>
      <t>Vic</t>
    </r>
    <r>
      <rPr>
        <b/>
        <sz val="10"/>
        <color theme="1"/>
        <rFont val="맑은 고딕"/>
        <family val="2"/>
        <charset val="129"/>
        <scheme val="minor"/>
      </rPr>
      <t>=</t>
    </r>
    <phoneticPr fontId="2" type="noConversion"/>
  </si>
  <si>
    <r>
      <rPr>
        <sz val="11"/>
        <color theme="1"/>
        <rFont val="HY견명조"/>
        <family val="1"/>
        <charset val="129"/>
      </rPr>
      <t>V</t>
    </r>
    <r>
      <rPr>
        <vertAlign val="subscript"/>
        <sz val="11"/>
        <color theme="1"/>
        <rFont val="HY견명조"/>
        <family val="1"/>
        <charset val="129"/>
      </rPr>
      <t>s</t>
    </r>
    <r>
      <rPr>
        <sz val="10"/>
        <color theme="1"/>
        <rFont val="맑은 고딕"/>
        <family val="3"/>
        <charset val="129"/>
      </rPr>
      <t>X</t>
    </r>
    <phoneticPr fontId="2" type="noConversion"/>
  </si>
  <si>
    <r>
      <t>X</t>
    </r>
    <r>
      <rPr>
        <b/>
        <vertAlign val="subscript"/>
        <sz val="10"/>
        <color theme="1"/>
        <rFont val="HY견명조"/>
        <family val="1"/>
        <charset val="129"/>
      </rPr>
      <t>w</t>
    </r>
    <phoneticPr fontId="2" type="noConversion"/>
  </si>
  <si>
    <r>
      <t>100-</t>
    </r>
    <r>
      <rPr>
        <b/>
        <sz val="10"/>
        <color theme="1"/>
        <rFont val="HY견명조"/>
        <family val="1"/>
        <charset val="129"/>
      </rPr>
      <t>X</t>
    </r>
    <r>
      <rPr>
        <b/>
        <vertAlign val="subscript"/>
        <sz val="10"/>
        <color theme="1"/>
        <rFont val="HY견명조"/>
        <family val="1"/>
        <charset val="129"/>
      </rPr>
      <t>w</t>
    </r>
    <phoneticPr fontId="2" type="noConversion"/>
  </si>
  <si>
    <t>I(%)=</t>
    <phoneticPr fontId="2" type="noConversion"/>
  </si>
  <si>
    <r>
      <t>P's</t>
    </r>
    <r>
      <rPr>
        <sz val="11"/>
        <color theme="1"/>
        <rFont val="맑은 고딕"/>
        <family val="3"/>
        <charset val="129"/>
      </rPr>
      <t>·t·v·An</t>
    </r>
    <phoneticPr fontId="2" type="noConversion"/>
  </si>
  <si>
    <t xml:space="preserve">Ts </t>
    <phoneticPr fontId="2" type="noConversion"/>
  </si>
  <si>
    <r>
      <t>(1.667</t>
    </r>
    <r>
      <rPr>
        <sz val="10"/>
        <color theme="1"/>
        <rFont val="맑은 고딕"/>
        <family val="3"/>
        <charset val="129"/>
      </rPr>
      <t>X10</t>
    </r>
    <r>
      <rPr>
        <vertAlign val="superscript"/>
        <sz val="10"/>
        <color theme="1"/>
        <rFont val="맑은 고딕"/>
        <family val="3"/>
        <charset val="129"/>
      </rPr>
      <t>4</t>
    </r>
    <r>
      <rPr>
        <sz val="10"/>
        <color theme="1"/>
        <rFont val="맑은 고딕"/>
        <family val="3"/>
        <charset val="129"/>
      </rPr>
      <t>)</t>
    </r>
    <phoneticPr fontId="2" type="noConversion"/>
  </si>
  <si>
    <t>(</t>
    <phoneticPr fontId="2" type="noConversion"/>
  </si>
  <si>
    <t>정압</t>
    <phoneticPr fontId="2" type="noConversion"/>
  </si>
  <si>
    <t>K-Factor</t>
    <phoneticPr fontId="2" type="noConversion"/>
  </si>
  <si>
    <r>
      <rPr>
        <b/>
        <sz val="6"/>
        <color theme="1"/>
        <rFont val="맑은 고딕"/>
        <family val="3"/>
        <charset val="129"/>
        <scheme val="minor"/>
      </rPr>
      <t>Absolute Stack Pressure</t>
    </r>
    <r>
      <rPr>
        <b/>
        <sz val="9"/>
        <color theme="1"/>
        <rFont val="맑은 고딕"/>
        <family val="3"/>
        <charset val="129"/>
        <scheme val="minor"/>
      </rPr>
      <t>(Ps)</t>
    </r>
    <phoneticPr fontId="2" type="noConversion"/>
  </si>
  <si>
    <t>KF=</t>
    <phoneticPr fontId="2" type="noConversion"/>
  </si>
  <si>
    <r>
      <t>KstdCp2(</t>
    </r>
    <r>
      <rPr>
        <sz val="11"/>
        <color theme="1"/>
        <rFont val="맑은 고딕"/>
        <family val="3"/>
        <charset val="129"/>
      </rPr>
      <t>Δ</t>
    </r>
    <r>
      <rPr>
        <sz val="11"/>
        <color theme="1"/>
        <rFont val="맑은 고딕"/>
        <family val="2"/>
        <charset val="129"/>
      </rPr>
      <t>H@)</t>
    </r>
    <phoneticPr fontId="2" type="noConversion"/>
  </si>
  <si>
    <t>(Tm+Tconversion)</t>
    <phoneticPr fontId="2" type="noConversion"/>
  </si>
  <si>
    <t>(Ts+Tconversion)</t>
    <phoneticPr fontId="2" type="noConversion"/>
  </si>
  <si>
    <t>Pb</t>
    <phoneticPr fontId="2" type="noConversion"/>
  </si>
  <si>
    <r>
      <t>(1-Bwo)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</rPr>
      <t>X</t>
    </r>
    <phoneticPr fontId="2" type="noConversion"/>
  </si>
  <si>
    <r>
      <t>(Dn)</t>
    </r>
    <r>
      <rPr>
        <vertAlign val="superscript"/>
        <sz val="11"/>
        <color theme="1"/>
        <rFont val="맑은 고딕"/>
        <family val="3"/>
        <charset val="129"/>
        <scheme val="minor"/>
      </rPr>
      <t>4</t>
    </r>
    <phoneticPr fontId="2" type="noConversion"/>
  </si>
  <si>
    <t>Kstd</t>
    <phoneticPr fontId="2" type="noConversion"/>
  </si>
  <si>
    <t>+273)</t>
    <phoneticPr fontId="2" type="noConversion"/>
  </si>
  <si>
    <t>inch</t>
    <phoneticPr fontId="2" type="noConversion"/>
  </si>
  <si>
    <t>cm</t>
    <phoneticPr fontId="2" type="noConversion"/>
  </si>
  <si>
    <t>mm</t>
    <phoneticPr fontId="2" type="noConversion"/>
  </si>
  <si>
    <r>
      <t>cm</t>
    </r>
    <r>
      <rPr>
        <b/>
        <vertAlign val="superscript"/>
        <sz val="11"/>
        <color theme="3" tint="0.39997558519241921"/>
        <rFont val="맑은 고딕"/>
        <family val="3"/>
        <charset val="129"/>
        <scheme val="minor"/>
      </rPr>
      <t>2</t>
    </r>
    <phoneticPr fontId="2" type="noConversion"/>
  </si>
  <si>
    <t xml:space="preserve">O2(산소측정값) </t>
    <phoneticPr fontId="2" type="noConversion"/>
  </si>
  <si>
    <t xml:space="preserve">CO2(이산화탄소) </t>
    <phoneticPr fontId="2" type="noConversion"/>
  </si>
  <si>
    <t xml:space="preserve">CO(일산화탄소) </t>
    <phoneticPr fontId="2" type="noConversion"/>
  </si>
  <si>
    <t xml:space="preserve">N2(질소) </t>
    <phoneticPr fontId="2" type="noConversion"/>
  </si>
  <si>
    <t>측정공의대기압</t>
    <phoneticPr fontId="2" type="noConversion"/>
  </si>
  <si>
    <t>흡수병전후무게(Ma)</t>
    <phoneticPr fontId="2" type="noConversion"/>
  </si>
  <si>
    <t>가스메타입구온도</t>
    <phoneticPr fontId="2" type="noConversion"/>
  </si>
  <si>
    <t>가스메타출구온도</t>
    <phoneticPr fontId="2" type="noConversion"/>
  </si>
  <si>
    <t>가스메타평균온도</t>
    <phoneticPr fontId="2" type="noConversion"/>
  </si>
  <si>
    <t>가스메타Gauge 압력</t>
    <phoneticPr fontId="2" type="noConversion"/>
  </si>
  <si>
    <t>M-6가스메타 초기값</t>
    <phoneticPr fontId="2" type="noConversion"/>
  </si>
  <si>
    <t>M-6가스메타 최종값</t>
    <phoneticPr fontId="2" type="noConversion"/>
  </si>
  <si>
    <t>흡입한 건조 가스량(Vm)</t>
    <phoneticPr fontId="2" type="noConversion"/>
  </si>
  <si>
    <t>g</t>
    <phoneticPr fontId="2" type="noConversion"/>
  </si>
  <si>
    <t>L</t>
    <phoneticPr fontId="2" type="noConversion"/>
  </si>
  <si>
    <t>동압(mmH2O)</t>
    <phoneticPr fontId="2" type="noConversion"/>
  </si>
  <si>
    <t>정압(mmH2O)</t>
    <phoneticPr fontId="2" type="noConversion"/>
  </si>
  <si>
    <t>채취 시간(분)</t>
    <phoneticPr fontId="2" type="noConversion"/>
  </si>
  <si>
    <t>배출가스 유속(m/sec)</t>
    <phoneticPr fontId="2" type="noConversion"/>
  </si>
  <si>
    <t>채취된 물의 총량(mL)</t>
    <phoneticPr fontId="2" type="noConversion"/>
  </si>
  <si>
    <t>노즐Size(cm)</t>
    <phoneticPr fontId="2" type="noConversion"/>
  </si>
  <si>
    <t>오리피스차압(mmH2O)</t>
    <phoneticPr fontId="2" type="noConversion"/>
  </si>
  <si>
    <t>등속흡인계수(I%)</t>
    <phoneticPr fontId="2" type="noConversion"/>
  </si>
  <si>
    <t>대기압(mmHg)</t>
    <phoneticPr fontId="2" type="noConversion"/>
  </si>
  <si>
    <t>19.</t>
    <phoneticPr fontId="2" type="noConversion"/>
  </si>
  <si>
    <t>20.</t>
    <phoneticPr fontId="2" type="noConversion"/>
  </si>
  <si>
    <t>21.</t>
    <phoneticPr fontId="2" type="noConversion"/>
  </si>
  <si>
    <t>22.</t>
    <phoneticPr fontId="2" type="noConversion"/>
  </si>
  <si>
    <t>23.</t>
    <phoneticPr fontId="2" type="noConversion"/>
  </si>
  <si>
    <t>24.</t>
    <phoneticPr fontId="2" type="noConversion"/>
  </si>
  <si>
    <t>25.</t>
    <phoneticPr fontId="2" type="noConversion"/>
  </si>
  <si>
    <t>P's.t.v.An</t>
    <phoneticPr fontId="2" type="noConversion"/>
  </si>
  <si>
    <t>Qa=</t>
    <phoneticPr fontId="2" type="noConversion"/>
  </si>
  <si>
    <t>Xw</t>
    <phoneticPr fontId="2" type="noConversion"/>
  </si>
  <si>
    <t>1-</t>
    <phoneticPr fontId="2" type="noConversion"/>
  </si>
  <si>
    <t>)</t>
    <phoneticPr fontId="2" type="noConversion"/>
  </si>
  <si>
    <r>
      <t xml:space="preserve">v x </t>
    </r>
    <r>
      <rPr>
        <b/>
        <sz val="10"/>
        <color theme="1"/>
        <rFont val="HY견명조"/>
        <family val="1"/>
        <charset val="129"/>
      </rPr>
      <t>A</t>
    </r>
    <phoneticPr fontId="2" type="noConversion"/>
  </si>
  <si>
    <r>
      <t>P</t>
    </r>
    <r>
      <rPr>
        <b/>
        <vertAlign val="subscript"/>
        <sz val="10"/>
        <color theme="1"/>
        <rFont val="맑은 고딕"/>
        <family val="3"/>
        <charset val="129"/>
        <scheme val="minor"/>
      </rPr>
      <t>a</t>
    </r>
    <r>
      <rPr>
        <b/>
        <sz val="10"/>
        <color theme="1"/>
        <rFont val="맑은 고딕"/>
        <family val="2"/>
        <charset val="129"/>
        <scheme val="minor"/>
      </rPr>
      <t xml:space="preserve"> +</t>
    </r>
    <phoneticPr fontId="2" type="noConversion"/>
  </si>
  <si>
    <r>
      <t>P</t>
    </r>
    <r>
      <rPr>
        <b/>
        <vertAlign val="subscript"/>
        <sz val="10"/>
        <color theme="1"/>
        <rFont val="맑은 고딕"/>
        <family val="3"/>
        <charset val="129"/>
        <scheme val="minor"/>
      </rPr>
      <t>s</t>
    </r>
    <phoneticPr fontId="2" type="noConversion"/>
  </si>
  <si>
    <t>273 +</t>
    <phoneticPr fontId="2" type="noConversion"/>
  </si>
  <si>
    <r>
      <t>Θ</t>
    </r>
    <r>
      <rPr>
        <b/>
        <vertAlign val="subscript"/>
        <sz val="10"/>
        <color theme="1"/>
        <rFont val="맑은 고딕"/>
        <family val="3"/>
        <charset val="129"/>
      </rPr>
      <t>s</t>
    </r>
    <phoneticPr fontId="2" type="noConversion"/>
  </si>
  <si>
    <t>Ca=</t>
    <phoneticPr fontId="2" type="noConversion"/>
  </si>
  <si>
    <r>
      <t>[0.00346 Vic+V'm/Tm(Pa+</t>
    </r>
    <r>
      <rPr>
        <sz val="10"/>
        <color theme="1"/>
        <rFont val="맑은 고딕"/>
        <family val="3"/>
        <charset val="129"/>
      </rPr>
      <t>ΔH/13.6)]</t>
    </r>
    <phoneticPr fontId="2" type="noConversion"/>
  </si>
  <si>
    <r>
      <t>m</t>
    </r>
    <r>
      <rPr>
        <b/>
        <vertAlign val="subscript"/>
        <sz val="10"/>
        <color theme="1"/>
        <rFont val="맑은 고딕"/>
        <family val="3"/>
        <charset val="129"/>
        <scheme val="minor"/>
      </rPr>
      <t>d</t>
    </r>
    <phoneticPr fontId="2" type="noConversion"/>
  </si>
  <si>
    <r>
      <t xml:space="preserve">V'm </t>
    </r>
    <r>
      <rPr>
        <b/>
        <sz val="10"/>
        <color theme="1"/>
        <rFont val="맑은 고딕"/>
        <family val="3"/>
        <charset val="129"/>
      </rPr>
      <t>X</t>
    </r>
    <phoneticPr fontId="2" type="noConversion"/>
  </si>
  <si>
    <t>C=</t>
    <phoneticPr fontId="2" type="noConversion"/>
  </si>
  <si>
    <t>21-</t>
    <phoneticPr fontId="2" type="noConversion"/>
  </si>
  <si>
    <r>
      <rPr>
        <b/>
        <sz val="11"/>
        <color theme="1"/>
        <rFont val="HY견명조"/>
        <family val="1"/>
        <charset val="129"/>
      </rPr>
      <t>Ca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X</t>
    </r>
    <phoneticPr fontId="2" type="noConversion"/>
  </si>
  <si>
    <r>
      <t>O</t>
    </r>
    <r>
      <rPr>
        <b/>
        <vertAlign val="subscript"/>
        <sz val="11"/>
        <color theme="1"/>
        <rFont val="맑은 고딕"/>
        <family val="3"/>
        <charset val="129"/>
        <scheme val="minor"/>
      </rPr>
      <t>s</t>
    </r>
    <phoneticPr fontId="2" type="noConversion"/>
  </si>
  <si>
    <r>
      <t>O</t>
    </r>
    <r>
      <rPr>
        <b/>
        <vertAlign val="subscript"/>
        <sz val="11"/>
        <color theme="1"/>
        <rFont val="맑은 고딕"/>
        <family val="3"/>
        <charset val="129"/>
        <scheme val="minor"/>
      </rPr>
      <t>a</t>
    </r>
    <phoneticPr fontId="2" type="noConversion"/>
  </si>
  <si>
    <t xml:space="preserve">21- </t>
    <phoneticPr fontId="2" type="noConversion"/>
  </si>
  <si>
    <t>표준산소(%)</t>
    <phoneticPr fontId="2" type="noConversion"/>
  </si>
  <si>
    <t>Q=</t>
    <phoneticPr fontId="2" type="noConversion"/>
  </si>
  <si>
    <r>
      <rPr>
        <b/>
        <sz val="11"/>
        <color theme="1"/>
        <rFont val="맑은 고딕"/>
        <family val="2"/>
        <charset val="129"/>
      </rPr>
      <t>Q</t>
    </r>
    <r>
      <rPr>
        <b/>
        <sz val="11"/>
        <color theme="1"/>
        <rFont val="HY견명조"/>
        <family val="1"/>
        <charset val="129"/>
      </rPr>
      <t>a</t>
    </r>
    <r>
      <rPr>
        <b/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÷</t>
    </r>
    <phoneticPr fontId="2" type="noConversion"/>
  </si>
  <si>
    <t>Pa+ΔH/13.6</t>
    <phoneticPr fontId="2" type="noConversion"/>
  </si>
  <si>
    <t>-</t>
    <phoneticPr fontId="2" type="noConversion"/>
  </si>
  <si>
    <t>굴뚝직경                          (2R)(m)</t>
    <phoneticPr fontId="2" type="noConversion"/>
  </si>
  <si>
    <t>r2</t>
    <phoneticPr fontId="2" type="noConversion"/>
  </si>
  <si>
    <t>r3</t>
    <phoneticPr fontId="2" type="noConversion"/>
  </si>
  <si>
    <t>r4</t>
    <phoneticPr fontId="2" type="noConversion"/>
  </si>
  <si>
    <t>r5</t>
    <phoneticPr fontId="2" type="noConversion"/>
  </si>
  <si>
    <t>1.연소가스 분석기 Parts.</t>
    <phoneticPr fontId="2" type="noConversion"/>
  </si>
  <si>
    <t>2.측정점 산정 Parts.</t>
    <phoneticPr fontId="2" type="noConversion"/>
  </si>
  <si>
    <t>반경         구분수</t>
    <phoneticPr fontId="2" type="noConversion"/>
  </si>
  <si>
    <t>측정점          수</t>
    <phoneticPr fontId="2" type="noConversion"/>
  </si>
  <si>
    <t>굴뚝중심에서 측정점까지의 거리(m)</t>
    <phoneticPr fontId="2" type="noConversion"/>
  </si>
  <si>
    <t>r1</t>
    <phoneticPr fontId="2" type="noConversion"/>
  </si>
  <si>
    <t xml:space="preserve">  1이하</t>
    <phoneticPr fontId="2" type="noConversion"/>
  </si>
  <si>
    <t xml:space="preserve">  1초과 2이하</t>
    <phoneticPr fontId="2" type="noConversion"/>
  </si>
  <si>
    <t xml:space="preserve">  2초과 4이하</t>
    <phoneticPr fontId="2" type="noConversion"/>
  </si>
  <si>
    <t xml:space="preserve">  4초과 4.5이하</t>
    <phoneticPr fontId="2" type="noConversion"/>
  </si>
  <si>
    <t xml:space="preserve">  4.5초과</t>
    <phoneticPr fontId="2" type="noConversion"/>
  </si>
  <si>
    <t>연도 단면적(m2)</t>
    <phoneticPr fontId="2" type="noConversion"/>
  </si>
  <si>
    <t>플랜지 길이(m)</t>
    <phoneticPr fontId="2" type="noConversion"/>
  </si>
  <si>
    <t>3.수분량 Parts.</t>
    <phoneticPr fontId="2" type="noConversion"/>
  </si>
  <si>
    <t>4.등속흡인계수(I% Factor) Parts.</t>
    <phoneticPr fontId="2" type="noConversion"/>
  </si>
  <si>
    <t xml:space="preserve"> ▣ 플렌지 끝에서 굴뚝 안쪽으로 Probe삽입길이 ▣</t>
    <phoneticPr fontId="2" type="noConversion"/>
  </si>
  <si>
    <t>Lee  ISO% Program</t>
    <phoneticPr fontId="2" type="noConversion"/>
  </si>
  <si>
    <t>배출구 유량(m3/hr)</t>
    <phoneticPr fontId="2" type="noConversion"/>
  </si>
  <si>
    <t>배출가스평균정압</t>
    <phoneticPr fontId="2" type="noConversion"/>
  </si>
  <si>
    <t>대 기 시 료 채 취 기 록 지</t>
    <phoneticPr fontId="51" type="noConversion"/>
  </si>
  <si>
    <t>배출가스</t>
    <phoneticPr fontId="51" type="noConversion"/>
  </si>
  <si>
    <t>오리피스</t>
    <phoneticPr fontId="51" type="noConversion"/>
  </si>
  <si>
    <t>동   압</t>
    <phoneticPr fontId="51" type="noConversion"/>
  </si>
  <si>
    <t>정   압</t>
    <phoneticPr fontId="51" type="noConversion"/>
  </si>
  <si>
    <t>항    목</t>
    <phoneticPr fontId="51" type="noConversion"/>
  </si>
  <si>
    <t>매  연</t>
    <phoneticPr fontId="51" type="noConversion"/>
  </si>
  <si>
    <t>계      산     식</t>
    <phoneticPr fontId="51" type="noConversion"/>
  </si>
  <si>
    <t>계              산</t>
    <phoneticPr fontId="51" type="noConversion"/>
  </si>
  <si>
    <t>수분량(%)</t>
    <phoneticPr fontId="51" type="noConversion"/>
  </si>
  <si>
    <t>수분량 =</t>
    <phoneticPr fontId="51" type="noConversion"/>
  </si>
  <si>
    <t>%</t>
    <phoneticPr fontId="51" type="noConversion"/>
  </si>
  <si>
    <t>ma</t>
    <phoneticPr fontId="51" type="noConversion"/>
  </si>
  <si>
    <t>x 100</t>
    <phoneticPr fontId="51" type="noConversion"/>
  </si>
  <si>
    <t>x</t>
    <phoneticPr fontId="51" type="noConversion"/>
  </si>
  <si>
    <t>(</t>
    <phoneticPr fontId="51" type="noConversion"/>
  </si>
  <si>
    <t>)</t>
    <phoneticPr fontId="51" type="noConversion"/>
  </si>
  <si>
    <t>Xw</t>
    <phoneticPr fontId="51" type="noConversion"/>
  </si>
  <si>
    <t>=</t>
    <phoneticPr fontId="51" type="noConversion"/>
  </si>
  <si>
    <t>Vm</t>
    <phoneticPr fontId="51" type="noConversion"/>
  </si>
  <si>
    <t>Pa + pm</t>
    <phoneticPr fontId="51" type="noConversion"/>
  </si>
  <si>
    <t>+</t>
    <phoneticPr fontId="51" type="noConversion"/>
  </si>
  <si>
    <t>) x</t>
    <phoneticPr fontId="51" type="noConversion"/>
  </si>
  <si>
    <t>) + (</t>
    <phoneticPr fontId="51" type="noConversion"/>
  </si>
  <si>
    <t>273+θm</t>
    <phoneticPr fontId="51" type="noConversion"/>
  </si>
  <si>
    <t>273 + (</t>
    <phoneticPr fontId="51" type="noConversion"/>
  </si>
  <si>
    <t>배출가스밀도</t>
    <phoneticPr fontId="51" type="noConversion"/>
  </si>
  <si>
    <t>r</t>
    <phoneticPr fontId="51" type="noConversion"/>
  </si>
  <si>
    <t>273+θs</t>
    <phoneticPr fontId="51" type="noConversion"/>
  </si>
  <si>
    <t>배출가스유속 (m/s)</t>
    <phoneticPr fontId="51" type="noConversion"/>
  </si>
  <si>
    <t>배출가스유속</t>
    <phoneticPr fontId="51" type="noConversion"/>
  </si>
  <si>
    <t>m/s</t>
    <phoneticPr fontId="51" type="noConversion"/>
  </si>
  <si>
    <t>V</t>
    <phoneticPr fontId="51" type="noConversion"/>
  </si>
  <si>
    <t>C</t>
    <phoneticPr fontId="51" type="noConversion"/>
  </si>
  <si>
    <t>2 g h</t>
    <phoneticPr fontId="51" type="noConversion"/>
  </si>
  <si>
    <t>2 x</t>
    <phoneticPr fontId="51" type="noConversion"/>
  </si>
  <si>
    <t>임핀저와 실리카겔에 채취된 물의 총량 (mL)</t>
    <phoneticPr fontId="51" type="noConversion"/>
  </si>
  <si>
    <t>임핀저와 실리카겔에 채취된 물의 총량</t>
    <phoneticPr fontId="51" type="noConversion"/>
  </si>
  <si>
    <t>mL</t>
    <phoneticPr fontId="51" type="noConversion"/>
  </si>
  <si>
    <t>Vic =</t>
    <phoneticPr fontId="51" type="noConversion"/>
  </si>
  <si>
    <t>Vs</t>
    <phoneticPr fontId="51" type="noConversion"/>
  </si>
  <si>
    <t xml:space="preserve">( </t>
    <phoneticPr fontId="51" type="noConversion"/>
  </si>
  <si>
    <t>Vic</t>
    <phoneticPr fontId="51" type="noConversion"/>
  </si>
  <si>
    <t xml:space="preserve">) x </t>
    <phoneticPr fontId="51" type="noConversion"/>
  </si>
  <si>
    <t>100-Xw</t>
    <phoneticPr fontId="51" type="noConversion"/>
  </si>
  <si>
    <t>100 -</t>
    <phoneticPr fontId="51" type="noConversion"/>
  </si>
  <si>
    <t>등속흡인계수 계산 (I factor)  (%)</t>
    <phoneticPr fontId="51" type="noConversion"/>
  </si>
  <si>
    <t>I (%)</t>
    <phoneticPr fontId="51" type="noConversion"/>
  </si>
  <si>
    <t>Ts [0.00346Vic + V'm/Tm(Pa+ΔH/13.6)]</t>
    <phoneticPr fontId="51" type="noConversion"/>
  </si>
  <si>
    <t>x (</t>
    <phoneticPr fontId="51" type="noConversion"/>
  </si>
  <si>
    <t>등속흡인계수  (I factor)   =</t>
    <phoneticPr fontId="51" type="noConversion"/>
  </si>
  <si>
    <t>)[</t>
    <phoneticPr fontId="51" type="noConversion"/>
  </si>
  <si>
    <t>0.00346 (</t>
    <phoneticPr fontId="51" type="noConversion"/>
  </si>
  <si>
    <t>)+(</t>
    <phoneticPr fontId="51" type="noConversion"/>
  </si>
  <si>
    <t>)/</t>
    <phoneticPr fontId="51" type="noConversion"/>
  </si>
  <si>
    <t xml:space="preserve"> (</t>
    <phoneticPr fontId="51" type="noConversion"/>
  </si>
  <si>
    <t>) ((</t>
    <phoneticPr fontId="51" type="noConversion"/>
  </si>
  <si>
    <t>+ (</t>
    <phoneticPr fontId="51" type="noConversion"/>
  </si>
  <si>
    <t>) /</t>
    <phoneticPr fontId="51" type="noConversion"/>
  </si>
  <si>
    <t>13.6)</t>
    <phoneticPr fontId="51" type="noConversion"/>
  </si>
  <si>
    <t>)]</t>
    <phoneticPr fontId="51" type="noConversion"/>
  </si>
  <si>
    <t>(1.667</t>
    <phoneticPr fontId="51" type="noConversion"/>
  </si>
  <si>
    <t>ma :</t>
    <phoneticPr fontId="51" type="noConversion"/>
  </si>
  <si>
    <t>흡습수분의 질량(ma2-ma1) (g)</t>
    <phoneticPr fontId="51" type="noConversion"/>
  </si>
  <si>
    <t>Vm :</t>
    <phoneticPr fontId="51" type="noConversion"/>
  </si>
  <si>
    <t>흡인한 건조량(건식가스미터에서 읽은 값) (L)</t>
    <phoneticPr fontId="51" type="noConversion"/>
  </si>
  <si>
    <t>θm :</t>
    <phoneticPr fontId="51" type="noConversion"/>
  </si>
  <si>
    <t>가스미터에서의 흡인가스온도(℃)</t>
    <phoneticPr fontId="51" type="noConversion"/>
  </si>
  <si>
    <t>Pa :</t>
    <phoneticPr fontId="51" type="noConversion"/>
  </si>
  <si>
    <t>측정공 위치의 대기압(mmHg)</t>
    <phoneticPr fontId="51" type="noConversion"/>
  </si>
  <si>
    <t>Pm :</t>
    <phoneticPr fontId="51" type="noConversion"/>
  </si>
  <si>
    <t>가스미터에서의 가스의 게이지압(mmHg)</t>
    <phoneticPr fontId="51" type="noConversion"/>
  </si>
  <si>
    <t>대기압(mmHg)</t>
    <phoneticPr fontId="51" type="noConversion"/>
  </si>
  <si>
    <t xml:space="preserve">C: </t>
    <phoneticPr fontId="51" type="noConversion"/>
  </si>
  <si>
    <t>피토우관 계수</t>
    <phoneticPr fontId="51" type="noConversion"/>
  </si>
  <si>
    <t>Ps :</t>
    <phoneticPr fontId="51" type="noConversion"/>
  </si>
  <si>
    <t>각 측정점에서 배출가스 정압의 평균치(mmHg)</t>
    <phoneticPr fontId="51" type="noConversion"/>
  </si>
  <si>
    <t>θs :</t>
    <phoneticPr fontId="51" type="noConversion"/>
  </si>
  <si>
    <t>각 측정점에서 배출가스 온도의 평균치(℃)</t>
    <phoneticPr fontId="51" type="noConversion"/>
  </si>
  <si>
    <t>g :</t>
    <phoneticPr fontId="51" type="noConversion"/>
  </si>
  <si>
    <t>h :</t>
    <phoneticPr fontId="51" type="noConversion"/>
  </si>
  <si>
    <t>r :</t>
    <phoneticPr fontId="51" type="noConversion"/>
  </si>
  <si>
    <t>Vs :</t>
    <phoneticPr fontId="51" type="noConversion"/>
  </si>
  <si>
    <t>건식가스미터에서 읽은 가스시료 채취량(L)</t>
    <phoneticPr fontId="51" type="noConversion"/>
  </si>
  <si>
    <t>Xw :</t>
    <phoneticPr fontId="51" type="noConversion"/>
  </si>
  <si>
    <t>습배기가스 중의 수증기 부피 백분율 (%)</t>
    <phoneticPr fontId="51" type="noConversion"/>
  </si>
  <si>
    <t>Ts :</t>
    <phoneticPr fontId="51" type="noConversion"/>
  </si>
  <si>
    <t>배출가스 평균 절대온도(K : 273+θs(℃))</t>
    <phoneticPr fontId="51" type="noConversion"/>
  </si>
  <si>
    <t>Vic :</t>
    <phoneticPr fontId="51" type="noConversion"/>
  </si>
  <si>
    <t>임핀저와 실리카겔에 채취된 물의 총량(mL)</t>
    <phoneticPr fontId="51" type="noConversion"/>
  </si>
  <si>
    <t>V'm :</t>
    <phoneticPr fontId="51" type="noConversion"/>
  </si>
  <si>
    <t xml:space="preserve">Tm : </t>
    <phoneticPr fontId="51" type="noConversion"/>
  </si>
  <si>
    <t>건식가스미터의 평균 절대온도(K : 273 + θm(℃))</t>
    <phoneticPr fontId="51" type="noConversion"/>
  </si>
  <si>
    <t>ΔH :</t>
    <phoneticPr fontId="51" type="noConversion"/>
  </si>
  <si>
    <t>t :</t>
    <phoneticPr fontId="51" type="noConversion"/>
  </si>
  <si>
    <t>총시료 채취시간 (min)</t>
    <phoneticPr fontId="51" type="noConversion"/>
  </si>
  <si>
    <t>P's :</t>
    <phoneticPr fontId="51" type="noConversion"/>
  </si>
  <si>
    <t>An :</t>
    <phoneticPr fontId="51" type="noConversion"/>
  </si>
  <si>
    <t>v :</t>
    <phoneticPr fontId="51" type="noConversion"/>
  </si>
  <si>
    <t>배출가스 평균유속(m/s)</t>
    <phoneticPr fontId="51" type="noConversion"/>
  </si>
  <si>
    <t>배출가스량 계산</t>
    <phoneticPr fontId="51" type="noConversion"/>
  </si>
  <si>
    <t>Qa</t>
    <phoneticPr fontId="51" type="noConversion"/>
  </si>
  <si>
    <t>A x</t>
    <phoneticPr fontId="51" type="noConversion"/>
  </si>
  <si>
    <t>Pa +</t>
    <phoneticPr fontId="51" type="noConversion"/>
  </si>
  <si>
    <t>-</t>
    <phoneticPr fontId="51" type="noConversion"/>
  </si>
  <si>
    <t>θs</t>
    <phoneticPr fontId="51" type="noConversion"/>
  </si>
  <si>
    <t>배출가스량 계산 =</t>
    <phoneticPr fontId="51" type="noConversion"/>
  </si>
  <si>
    <t>1 -</t>
    <phoneticPr fontId="51" type="noConversion"/>
  </si>
  <si>
    <t>Ca</t>
    <phoneticPr fontId="51" type="noConversion"/>
  </si>
  <si>
    <t>md</t>
    <phoneticPr fontId="51" type="noConversion"/>
  </si>
  <si>
    <t>V'm</t>
    <phoneticPr fontId="51" type="noConversion"/>
  </si>
  <si>
    <t>ΔH</t>
    <phoneticPr fontId="51" type="noConversion"/>
  </si>
  <si>
    <t>/</t>
    <phoneticPr fontId="51" type="noConversion"/>
  </si>
  <si>
    <t>273 + θm</t>
    <phoneticPr fontId="51" type="noConversion"/>
  </si>
  <si>
    <t>먼지농도 계산 =</t>
    <phoneticPr fontId="51" type="noConversion"/>
  </si>
  <si>
    <t>/ 13.6</t>
    <phoneticPr fontId="51" type="noConversion"/>
  </si>
  <si>
    <t>먼지농도</t>
    <phoneticPr fontId="51" type="noConversion"/>
  </si>
  <si>
    <t>먼지농도 =</t>
    <phoneticPr fontId="51" type="noConversion"/>
  </si>
  <si>
    <t>21 - Os</t>
    <phoneticPr fontId="51" type="noConversion"/>
  </si>
  <si>
    <t xml:space="preserve">- </t>
    <phoneticPr fontId="51" type="noConversion"/>
  </si>
  <si>
    <t>21 - Oa</t>
    <phoneticPr fontId="51" type="noConversion"/>
  </si>
  <si>
    <t>배출가스유량</t>
    <phoneticPr fontId="51" type="noConversion"/>
  </si>
  <si>
    <t>배출가스유량 =</t>
    <phoneticPr fontId="51" type="noConversion"/>
  </si>
  <si>
    <t>Q</t>
    <phoneticPr fontId="51" type="noConversion"/>
  </si>
  <si>
    <t>배출가스 평균유속 (m/s)</t>
    <phoneticPr fontId="51" type="noConversion"/>
  </si>
  <si>
    <t xml:space="preserve">A : </t>
    <phoneticPr fontId="51" type="noConversion"/>
  </si>
  <si>
    <t>배출가스 평균온도 (℃)</t>
    <phoneticPr fontId="51" type="noConversion"/>
  </si>
  <si>
    <t>배출가스 평균정압(mmHg)</t>
    <phoneticPr fontId="51" type="noConversion"/>
  </si>
  <si>
    <t>배출가스 중의 수분량(%)</t>
    <phoneticPr fontId="51" type="noConversion"/>
  </si>
  <si>
    <t>md :</t>
    <phoneticPr fontId="51" type="noConversion"/>
  </si>
  <si>
    <t>포집된 먼지량(mg)</t>
    <phoneticPr fontId="51" type="noConversion"/>
  </si>
  <si>
    <t>건식가스미터의 평균온도(℃)</t>
    <phoneticPr fontId="51" type="noConversion"/>
  </si>
  <si>
    <t>Os :</t>
    <phoneticPr fontId="51" type="noConversion"/>
  </si>
  <si>
    <t>표준산소농도(%)</t>
    <phoneticPr fontId="51" type="noConversion"/>
  </si>
  <si>
    <t>Oa :</t>
    <phoneticPr fontId="51" type="noConversion"/>
  </si>
  <si>
    <t>실측산소농도(%)</t>
    <phoneticPr fontId="51" type="noConversion"/>
  </si>
  <si>
    <t>Ca :</t>
    <phoneticPr fontId="51" type="noConversion"/>
  </si>
  <si>
    <t>Qa :</t>
    <phoneticPr fontId="51" type="noConversion"/>
  </si>
  <si>
    <t>시료 채취</t>
    <phoneticPr fontId="51" type="noConversion"/>
  </si>
  <si>
    <t>일     시</t>
    <phoneticPr fontId="51" type="noConversion"/>
  </si>
  <si>
    <t>측   정   대   행   업   소</t>
    <phoneticPr fontId="51" type="noConversion"/>
  </si>
  <si>
    <t xml:space="preserve">  업    소    명</t>
    <phoneticPr fontId="51" type="noConversion"/>
  </si>
  <si>
    <t xml:space="preserve">  소    재    지</t>
    <phoneticPr fontId="51" type="noConversion"/>
  </si>
  <si>
    <t xml:space="preserve">  대    표    자</t>
    <phoneticPr fontId="51" type="noConversion"/>
  </si>
  <si>
    <t xml:space="preserve">  시 료 채 취 자</t>
    <phoneticPr fontId="51" type="noConversion"/>
  </si>
  <si>
    <t>시 료 분 석 기 간</t>
    <phoneticPr fontId="51" type="noConversion"/>
  </si>
  <si>
    <t xml:space="preserve">  시  료  분  석</t>
    <phoneticPr fontId="51" type="noConversion"/>
  </si>
  <si>
    <t xml:space="preserve">  검    사    자</t>
    <phoneticPr fontId="51" type="noConversion"/>
  </si>
  <si>
    <t xml:space="preserve">  발생원의 종 류</t>
    <phoneticPr fontId="51" type="noConversion"/>
  </si>
  <si>
    <t>연도모양</t>
    <phoneticPr fontId="51" type="noConversion"/>
  </si>
  <si>
    <t>℃</t>
    <phoneticPr fontId="51" type="noConversion"/>
  </si>
  <si>
    <t>풍</t>
    <phoneticPr fontId="51" type="noConversion"/>
  </si>
  <si>
    <t>ro</t>
    <phoneticPr fontId="51" type="noConversion"/>
  </si>
  <si>
    <t>측정항목</t>
    <phoneticPr fontId="51" type="noConversion"/>
  </si>
  <si>
    <t>결과치</t>
    <phoneticPr fontId="51" type="noConversion"/>
  </si>
  <si>
    <t>기기</t>
    <phoneticPr fontId="51" type="noConversion"/>
  </si>
  <si>
    <t>공정시험법</t>
    <phoneticPr fontId="51" type="noConversion"/>
  </si>
  <si>
    <t>종       별</t>
    <phoneticPr fontId="51" type="noConversion"/>
  </si>
  <si>
    <t>종</t>
    <phoneticPr fontId="51" type="noConversion"/>
  </si>
  <si>
    <t>대 표 자 (의뢰인)</t>
    <phoneticPr fontId="51" type="noConversion"/>
  </si>
  <si>
    <t>주생산품</t>
    <phoneticPr fontId="51" type="noConversion"/>
  </si>
  <si>
    <t>③의뢰내용</t>
    <phoneticPr fontId="51" type="noConversion"/>
  </si>
  <si>
    <t>측   정   용   도</t>
    <phoneticPr fontId="51" type="noConversion"/>
  </si>
  <si>
    <t>대 상 의   명 칭
 ( 측 정 지 점 )</t>
    <phoneticPr fontId="51" type="noConversion"/>
  </si>
  <si>
    <t>의   뢰   항   목</t>
    <phoneticPr fontId="51" type="noConversion"/>
  </si>
  <si>
    <t>④시료채취</t>
    <phoneticPr fontId="51" type="noConversion"/>
  </si>
  <si>
    <t>현   장   기   상</t>
    <phoneticPr fontId="51" type="noConversion"/>
  </si>
  <si>
    <t>습  도</t>
    <phoneticPr fontId="51" type="noConversion"/>
  </si>
  <si>
    <t>풍  향</t>
    <phoneticPr fontId="51" type="noConversion"/>
  </si>
  <si>
    <t>시 료 채 취 자</t>
    <phoneticPr fontId="51" type="noConversion"/>
  </si>
  <si>
    <t>측   정   항   목</t>
    <phoneticPr fontId="51" type="noConversion"/>
  </si>
  <si>
    <t>측정분석값</t>
    <phoneticPr fontId="51" type="noConversion"/>
  </si>
  <si>
    <t>비고</t>
    <phoneticPr fontId="51" type="noConversion"/>
  </si>
  <si>
    <t>유속 305 m/min(5.08m/s) 이상</t>
    <phoneticPr fontId="2" type="noConversion"/>
  </si>
  <si>
    <t>180 ~ 305 m/min(3~5.08m/s)</t>
    <phoneticPr fontId="2" type="noConversion"/>
  </si>
  <si>
    <t>측정여지 번호:</t>
    <phoneticPr fontId="2" type="noConversion"/>
  </si>
  <si>
    <t>굴뚝단면 및 측정점 배열</t>
    <phoneticPr fontId="2" type="noConversion"/>
  </si>
  <si>
    <t>1지점.</t>
    <phoneticPr fontId="2" type="noConversion"/>
  </si>
  <si>
    <t>2지점.</t>
    <phoneticPr fontId="2" type="noConversion"/>
  </si>
  <si>
    <t>3지점.</t>
    <phoneticPr fontId="2" type="noConversion"/>
  </si>
  <si>
    <t>4지점.</t>
    <phoneticPr fontId="2" type="noConversion"/>
  </si>
  <si>
    <t>5지점.</t>
    <phoneticPr fontId="2" type="noConversion"/>
  </si>
  <si>
    <t>피토우관계수 :</t>
    <phoneticPr fontId="2" type="noConversion"/>
  </si>
  <si>
    <t>ΔH :</t>
    <phoneticPr fontId="2" type="noConversion"/>
  </si>
  <si>
    <t>YD :</t>
  </si>
  <si>
    <t>흡인노즐 (mm) :</t>
    <phoneticPr fontId="51" type="noConversion"/>
  </si>
  <si>
    <t>노즐단면적 (㎠) :</t>
    <phoneticPr fontId="51" type="noConversion"/>
  </si>
  <si>
    <t>배출가스정압 (mmHg) :</t>
    <phoneticPr fontId="51" type="noConversion"/>
  </si>
  <si>
    <t>측정공 위치의 기압 (mmHg) :</t>
    <phoneticPr fontId="51" type="noConversion"/>
  </si>
  <si>
    <t>습   도 (%) :</t>
    <phoneticPr fontId="2" type="noConversion"/>
  </si>
  <si>
    <t>등속흡인계수 (%) :</t>
    <phoneticPr fontId="51" type="noConversion"/>
  </si>
  <si>
    <t>기술책임자 확인 :</t>
    <phoneticPr fontId="2" type="noConversion"/>
  </si>
  <si>
    <t>THC</t>
    <phoneticPr fontId="2" type="noConversion"/>
  </si>
  <si>
    <t>채취점</t>
    <phoneticPr fontId="51" type="noConversion"/>
  </si>
  <si>
    <t>번호</t>
    <phoneticPr fontId="2" type="noConversion"/>
  </si>
  <si>
    <t>채취</t>
    <phoneticPr fontId="51" type="noConversion"/>
  </si>
  <si>
    <t>시간
(분)</t>
    <phoneticPr fontId="51" type="noConversion"/>
  </si>
  <si>
    <t>진 공 압</t>
    <phoneticPr fontId="51" type="noConversion"/>
  </si>
  <si>
    <t>(mmHg)</t>
    <phoneticPr fontId="51" type="noConversion"/>
  </si>
  <si>
    <t>Ts</t>
    <phoneticPr fontId="2" type="noConversion"/>
  </si>
  <si>
    <t>Tm
(in)</t>
    <phoneticPr fontId="51" type="noConversion"/>
  </si>
  <si>
    <t>Tm
(out)</t>
    <phoneticPr fontId="51" type="noConversion"/>
  </si>
  <si>
    <t>압   차
(mmH2O)</t>
    <phoneticPr fontId="51" type="noConversion"/>
  </si>
  <si>
    <t>채취 전</t>
    <phoneticPr fontId="2" type="noConversion"/>
  </si>
  <si>
    <t>채취 후</t>
    <phoneticPr fontId="2" type="noConversion"/>
  </si>
  <si>
    <t>채취량(L)</t>
    <phoneticPr fontId="2" type="noConversion"/>
  </si>
  <si>
    <t>여과지
홀더 온도
(℃)</t>
    <phoneticPr fontId="51" type="noConversion"/>
  </si>
  <si>
    <t>1번</t>
    <phoneticPr fontId="2" type="noConversion"/>
  </si>
  <si>
    <t>2번</t>
    <phoneticPr fontId="2" type="noConversion"/>
  </si>
  <si>
    <t>3번</t>
    <phoneticPr fontId="2" type="noConversion"/>
  </si>
  <si>
    <t>4번</t>
    <phoneticPr fontId="2" type="noConversion"/>
  </si>
  <si>
    <t>5번</t>
    <phoneticPr fontId="2" type="noConversion"/>
  </si>
  <si>
    <t>합  계</t>
    <phoneticPr fontId="2" type="noConversion"/>
  </si>
  <si>
    <t>수분량(%) :</t>
    <phoneticPr fontId="2" type="noConversion"/>
  </si>
  <si>
    <t>배출가스온도(℃) :</t>
    <phoneticPr fontId="2" type="noConversion"/>
  </si>
  <si>
    <t>흡인유속
(L/min)</t>
    <phoneticPr fontId="2" type="noConversion"/>
  </si>
  <si>
    <t>가스미터압 
Pm(mmHg)</t>
    <phoneticPr fontId="2" type="noConversion"/>
  </si>
  <si>
    <t>온    도(℃)</t>
    <phoneticPr fontId="51" type="noConversion"/>
  </si>
  <si>
    <t>온   도(℃)</t>
    <phoneticPr fontId="2" type="noConversion"/>
  </si>
  <si>
    <t>전 무게</t>
    <phoneticPr fontId="2" type="noConversion"/>
  </si>
  <si>
    <t>후 무게</t>
    <phoneticPr fontId="2" type="noConversion"/>
  </si>
  <si>
    <t>무수염화칼슘</t>
    <phoneticPr fontId="2" type="noConversion"/>
  </si>
  <si>
    <t>분</t>
    <phoneticPr fontId="2" type="noConversion"/>
  </si>
  <si>
    <t>[가스상 및 VOCs 물질]</t>
    <phoneticPr fontId="2" type="noConversion"/>
  </si>
  <si>
    <t>채취전</t>
    <phoneticPr fontId="2" type="noConversion"/>
  </si>
  <si>
    <t>채취후</t>
    <phoneticPr fontId="2" type="noConversion"/>
  </si>
  <si>
    <t>현장바탕시료</t>
    <phoneticPr fontId="2" type="noConversion"/>
  </si>
  <si>
    <t>tube No.</t>
    <phoneticPr fontId="2" type="noConversion"/>
  </si>
  <si>
    <t>시료</t>
    <phoneticPr fontId="2" type="noConversion"/>
  </si>
  <si>
    <t>최종임핀저
출구 온도
(℃)</t>
    <phoneticPr fontId="51" type="noConversion"/>
  </si>
  <si>
    <t>시료채취자 확인 :</t>
    <phoneticPr fontId="2" type="noConversion"/>
  </si>
  <si>
    <t>평  균</t>
    <phoneticPr fontId="51" type="noConversion"/>
  </si>
  <si>
    <t>포화수증기압 :</t>
    <phoneticPr fontId="2" type="noConversion"/>
  </si>
  <si>
    <t>채  취  시  간   :</t>
    <phoneticPr fontId="2" type="noConversion"/>
  </si>
  <si>
    <t>측 정 시 간 :</t>
    <phoneticPr fontId="51" type="noConversion"/>
  </si>
  <si>
    <t>측   정   일 :</t>
    <phoneticPr fontId="51" type="noConversion"/>
  </si>
  <si>
    <t>방지시설명 :</t>
    <phoneticPr fontId="51" type="noConversion"/>
  </si>
  <si>
    <t>배출시설 :</t>
    <phoneticPr fontId="51" type="noConversion"/>
  </si>
  <si>
    <t>업   체   명 :</t>
    <phoneticPr fontId="51" type="noConversion"/>
  </si>
  <si>
    <t>CO2(%) :</t>
    <phoneticPr fontId="2" type="noConversion"/>
  </si>
  <si>
    <t>원통여지무게차</t>
    <phoneticPr fontId="2" type="noConversion"/>
  </si>
  <si>
    <t>흡입량</t>
    <phoneticPr fontId="2" type="noConversion"/>
  </si>
  <si>
    <t>포집 전</t>
    <phoneticPr fontId="2" type="noConversion"/>
  </si>
  <si>
    <t>포집 후</t>
    <phoneticPr fontId="2" type="noConversion"/>
  </si>
  <si>
    <t xml:space="preserve"> △H(mmHg)</t>
    <phoneticPr fontId="2" type="noConversion"/>
  </si>
  <si>
    <t>기상</t>
    <phoneticPr fontId="51" type="noConversion"/>
  </si>
  <si>
    <t>습도(%)</t>
    <phoneticPr fontId="51" type="noConversion"/>
  </si>
  <si>
    <t>풍향(풍)</t>
    <phoneticPr fontId="51" type="noConversion"/>
  </si>
  <si>
    <t>풍속(m/s)</t>
    <phoneticPr fontId="51" type="noConversion"/>
  </si>
  <si>
    <t>mmHg</t>
    <phoneticPr fontId="51" type="noConversion"/>
  </si>
  <si>
    <t>연도 직경(m) :</t>
    <phoneticPr fontId="51" type="noConversion"/>
  </si>
  <si>
    <t>연도 면적(㎡) :</t>
    <phoneticPr fontId="2" type="noConversion"/>
  </si>
  <si>
    <t>연도 벽면으로부터 (cm)</t>
    <phoneticPr fontId="2" type="noConversion"/>
  </si>
  <si>
    <t>기  상</t>
    <phoneticPr fontId="2" type="noConversion"/>
  </si>
  <si>
    <t>기  온</t>
    <phoneticPr fontId="2" type="noConversion"/>
  </si>
  <si>
    <t>습  도</t>
    <phoneticPr fontId="2" type="noConversion"/>
  </si>
  <si>
    <t>기  압</t>
    <phoneticPr fontId="2" type="noConversion"/>
  </si>
  <si>
    <t>풍  향</t>
    <phoneticPr fontId="2" type="noConversion"/>
  </si>
  <si>
    <t>풍  속</t>
    <phoneticPr fontId="2" type="noConversion"/>
  </si>
  <si>
    <t>2. 결과 및 공정시험법</t>
    <phoneticPr fontId="2" type="noConversion"/>
  </si>
  <si>
    <t>1. 연도조건 및 기후조건</t>
    <phoneticPr fontId="51" type="noConversion"/>
  </si>
  <si>
    <t>여지 번호</t>
    <phoneticPr fontId="51" type="noConversion"/>
  </si>
  <si>
    <t>대기온도 (℃) :</t>
    <phoneticPr fontId="51" type="noConversion"/>
  </si>
  <si>
    <r>
      <t>O</t>
    </r>
    <r>
      <rPr>
        <vertAlign val="subscript"/>
        <sz val="10"/>
        <rFont val="굴림"/>
        <family val="3"/>
        <charset val="129"/>
      </rPr>
      <t>2</t>
    </r>
    <r>
      <rPr>
        <sz val="10"/>
        <rFont val="굴림"/>
        <family val="3"/>
        <charset val="129"/>
      </rPr>
      <t xml:space="preserve">(%) : </t>
    </r>
    <phoneticPr fontId="2" type="noConversion"/>
  </si>
  <si>
    <t>배출가스 온도(℃)</t>
    <phoneticPr fontId="2" type="noConversion"/>
  </si>
  <si>
    <t>DGM입구 온도(℃)</t>
    <phoneticPr fontId="2" type="noConversion"/>
  </si>
  <si>
    <t>DGM출구 온도(℃)</t>
    <phoneticPr fontId="2" type="noConversion"/>
  </si>
  <si>
    <t>DGM평균 온도(℃)</t>
    <phoneticPr fontId="2" type="noConversion"/>
  </si>
  <si>
    <r>
      <t>채취요구량(M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</si>
  <si>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예상채취량(M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</si>
  <si>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실제채취값(M</t>
    </r>
    <r>
      <rPr>
        <b/>
        <vertAlign val="superscript"/>
        <sz val="10"/>
        <color rgb="FFFF0000"/>
        <rFont val="굴림"/>
        <family val="3"/>
        <charset val="129"/>
      </rPr>
      <t>3</t>
    </r>
    <r>
      <rPr>
        <b/>
        <sz val="10"/>
        <color rgb="FFFF0000"/>
        <rFont val="굴림"/>
        <family val="3"/>
        <charset val="129"/>
      </rPr>
      <t>)</t>
    </r>
    <phoneticPr fontId="2" type="noConversion"/>
  </si>
  <si>
    <r>
      <t>배출가스 밀도(kg/m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</si>
  <si>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t>최종임핀저출구 온도(℃)</t>
    <phoneticPr fontId="2" type="noConversion"/>
  </si>
  <si>
    <t>기온(℃)</t>
    <phoneticPr fontId="51" type="noConversion"/>
  </si>
  <si>
    <t>,</t>
    <phoneticPr fontId="2" type="noConversion"/>
  </si>
  <si>
    <t>노즐단면적 (㎠)</t>
    <phoneticPr fontId="2" type="noConversion"/>
  </si>
  <si>
    <t>(서명)</t>
    <phoneticPr fontId="2" type="noConversion"/>
  </si>
  <si>
    <t>환  경  기  술  인</t>
    <phoneticPr fontId="51" type="noConversion"/>
  </si>
  <si>
    <t>배   출   가   스</t>
    <phoneticPr fontId="51" type="noConversion"/>
  </si>
  <si>
    <t>％</t>
    <phoneticPr fontId="51" type="noConversion"/>
  </si>
  <si>
    <t>채   취   일   시</t>
    <phoneticPr fontId="51" type="noConversion"/>
  </si>
  <si>
    <t>년</t>
    <phoneticPr fontId="51" type="noConversion"/>
  </si>
  <si>
    <t>채취량
(L)</t>
    <phoneticPr fontId="2" type="noConversion"/>
  </si>
  <si>
    <t>시  설  별</t>
    <phoneticPr fontId="51" type="noConversion"/>
  </si>
  <si>
    <t>CO</t>
    <phoneticPr fontId="2" type="noConversion"/>
  </si>
  <si>
    <t>니켈</t>
    <phoneticPr fontId="51" type="noConversion"/>
  </si>
  <si>
    <t>아연</t>
    <phoneticPr fontId="51" type="noConversion"/>
  </si>
  <si>
    <t>구리</t>
    <phoneticPr fontId="51" type="noConversion"/>
  </si>
  <si>
    <t>납</t>
    <phoneticPr fontId="51" type="noConversion"/>
  </si>
  <si>
    <t>ro 는 1~1.3 이면 적당</t>
    <phoneticPr fontId="2" type="noConversion"/>
  </si>
  <si>
    <t>링겔만비탁표</t>
    <phoneticPr fontId="2" type="noConversion"/>
  </si>
  <si>
    <t>Nozzle Size(구형)</t>
    <phoneticPr fontId="2" type="noConversion"/>
  </si>
  <si>
    <t>Nozzle Size(신형)</t>
    <phoneticPr fontId="2" type="noConversion"/>
  </si>
  <si>
    <t>예상진공게이지압</t>
    <phoneticPr fontId="2" type="noConversion"/>
  </si>
  <si>
    <t>△H(inH2O)</t>
    <phoneticPr fontId="2" type="noConversion"/>
  </si>
  <si>
    <t>보정먼지농도</t>
    <phoneticPr fontId="2" type="noConversion"/>
  </si>
  <si>
    <t>먼지농도계산</t>
    <phoneticPr fontId="2" type="noConversion"/>
  </si>
  <si>
    <t>inchH2O</t>
    <phoneticPr fontId="2" type="noConversion"/>
  </si>
  <si>
    <t>시료분석기간</t>
    <phoneticPr fontId="2" type="noConversion"/>
  </si>
  <si>
    <t>측정시간</t>
    <phoneticPr fontId="2" type="noConversion"/>
  </si>
  <si>
    <t>*</t>
    <phoneticPr fontId="2" type="noConversion"/>
  </si>
  <si>
    <t>/</t>
    <phoneticPr fontId="2" type="noConversion"/>
  </si>
  <si>
    <t>최종직경</t>
    <phoneticPr fontId="2" type="noConversion"/>
  </si>
  <si>
    <t>자외선/가시선분광법</t>
    <phoneticPr fontId="2" type="noConversion"/>
  </si>
  <si>
    <t>[별지 제21호서식]</t>
    <phoneticPr fontId="2" type="noConversion"/>
  </si>
  <si>
    <t>대  기  측  정  기  록  부</t>
    <phoneticPr fontId="51" type="noConversion"/>
  </si>
  <si>
    <t>①의뢰인</t>
    <phoneticPr fontId="51" type="noConversion"/>
  </si>
  <si>
    <t>상     호 (기관명)</t>
    <phoneticPr fontId="51" type="noConversion"/>
  </si>
  <si>
    <t>②
일
반
현
황</t>
    <phoneticPr fontId="51" type="noConversion"/>
  </si>
  <si>
    <t>소 재 지 (주   소)</t>
    <phoneticPr fontId="51" type="noConversion"/>
  </si>
  <si>
    <t>기  온</t>
    <phoneticPr fontId="51" type="noConversion"/>
  </si>
  <si>
    <t>기  압</t>
    <phoneticPr fontId="51" type="noConversion"/>
  </si>
  <si>
    <t>풍  속</t>
    <phoneticPr fontId="51" type="noConversion"/>
  </si>
  <si>
    <t>기  상</t>
    <phoneticPr fontId="51" type="noConversion"/>
  </si>
  <si>
    <t>배출구직경</t>
    <phoneticPr fontId="2" type="noConversion"/>
  </si>
  <si>
    <t>m</t>
    <phoneticPr fontId="2" type="noConversion"/>
  </si>
  <si>
    <t>채 취 자   의 견</t>
    <phoneticPr fontId="51" type="noConversion"/>
  </si>
  <si>
    <t>(인)</t>
    <phoneticPr fontId="2" type="noConversion"/>
  </si>
  <si>
    <t>⑤측정분석결과</t>
    <phoneticPr fontId="51" type="noConversion"/>
  </si>
  <si>
    <t>관련 기준</t>
    <phoneticPr fontId="51" type="noConversion"/>
  </si>
  <si>
    <t>측정시간
(환경질에 한함)</t>
    <phoneticPr fontId="51" type="noConversion"/>
  </si>
  <si>
    <t>측정분석방법
(기기명)</t>
    <phoneticPr fontId="51" type="noConversion"/>
  </si>
  <si>
    <t>ppm</t>
    <phoneticPr fontId="2" type="noConversion"/>
  </si>
  <si>
    <t xml:space="preserve"> 분   석   기   간</t>
    <phoneticPr fontId="51" type="noConversion"/>
  </si>
  <si>
    <t>분석책임자</t>
    <phoneticPr fontId="51" type="noConversion"/>
  </si>
  <si>
    <t>⑥ 종  합  의  견</t>
    <phoneticPr fontId="51" type="noConversion"/>
  </si>
  <si>
    <t>위와 같이 측정분석결과를 사실대로 기록합니다.</t>
    <phoneticPr fontId="51" type="noConversion"/>
  </si>
  <si>
    <t>월</t>
    <phoneticPr fontId="51" type="noConversion"/>
  </si>
  <si>
    <t>일</t>
    <phoneticPr fontId="51" type="noConversion"/>
  </si>
  <si>
    <t>계산일지1</t>
    <phoneticPr fontId="51" type="noConversion"/>
  </si>
  <si>
    <t>분석 물질</t>
    <phoneticPr fontId="2" type="noConversion"/>
  </si>
  <si>
    <t>대기오염배출시설 배출가스</t>
    <phoneticPr fontId="2" type="noConversion"/>
  </si>
  <si>
    <t>채 취 일</t>
    <phoneticPr fontId="2" type="noConversion"/>
  </si>
  <si>
    <t>시  험  법</t>
    <phoneticPr fontId="2" type="noConversion"/>
  </si>
  <si>
    <t>접 수 일</t>
    <phoneticPr fontId="2" type="noConversion"/>
  </si>
  <si>
    <t>기  기  명</t>
    <phoneticPr fontId="2" type="noConversion"/>
  </si>
  <si>
    <t>시험기간</t>
    <phoneticPr fontId="2" type="noConversion"/>
  </si>
  <si>
    <t>분  석  자</t>
    <phoneticPr fontId="2" type="noConversion"/>
  </si>
  <si>
    <t>계산일지2</t>
    <phoneticPr fontId="51" type="noConversion"/>
  </si>
  <si>
    <t>진공Gauge(mmHg)</t>
    <phoneticPr fontId="2" type="noConversion"/>
  </si>
  <si>
    <t>대기측정 분석 결과서</t>
    <phoneticPr fontId="51" type="noConversion"/>
  </si>
  <si>
    <t>먼지</t>
    <phoneticPr fontId="2" type="noConversion"/>
  </si>
  <si>
    <t>반자동식 측정법/원통여지법</t>
    <phoneticPr fontId="2" type="noConversion"/>
  </si>
  <si>
    <t>매연</t>
    <phoneticPr fontId="2" type="noConversion"/>
  </si>
  <si>
    <t>NOx</t>
    <phoneticPr fontId="2" type="noConversion"/>
  </si>
  <si>
    <t>자동측정법/자동연속장치</t>
    <phoneticPr fontId="2" type="noConversion"/>
  </si>
  <si>
    <t>SOx</t>
    <phoneticPr fontId="2" type="noConversion"/>
  </si>
  <si>
    <t>전기화학식(정전위전해법)/자동연속장치</t>
    <phoneticPr fontId="2" type="noConversion"/>
  </si>
  <si>
    <t>유도결합플라스마 분광법</t>
    <phoneticPr fontId="2" type="noConversion"/>
  </si>
  <si>
    <t>기체크로마토그래피</t>
    <phoneticPr fontId="2" type="noConversion"/>
  </si>
  <si>
    <t>단위</t>
    <phoneticPr fontId="2" type="noConversion"/>
  </si>
  <si>
    <t>연도직경(m)원형</t>
    <phoneticPr fontId="2" type="noConversion"/>
  </si>
  <si>
    <t>0.564(A=0.250)이하</t>
    <phoneticPr fontId="2" type="noConversion"/>
  </si>
  <si>
    <t>-</t>
  </si>
  <si>
    <t>연도직경(m)사각형
가로x세로</t>
    <phoneticPr fontId="2" type="noConversion"/>
  </si>
  <si>
    <t>온도[℃]</t>
  </si>
  <si>
    <t>포화수증기압[㎜Hg]</t>
  </si>
  <si>
    <t>배가스의</t>
    <phoneticPr fontId="84" type="noConversion"/>
  </si>
  <si>
    <t>포화 수분</t>
    <phoneticPr fontId="2" type="noConversion"/>
  </si>
  <si>
    <t>트리거(0,1)</t>
    <phoneticPr fontId="2" type="noConversion"/>
  </si>
  <si>
    <t>산소보정계수</t>
    <phoneticPr fontId="2" type="noConversion"/>
  </si>
  <si>
    <t>inHg</t>
    <phoneticPr fontId="2" type="noConversion"/>
  </si>
  <si>
    <t>흡인유속</t>
    <phoneticPr fontId="2" type="noConversion"/>
  </si>
  <si>
    <t>L/min</t>
    <phoneticPr fontId="2" type="noConversion"/>
  </si>
  <si>
    <t>풍  속 (m/s) :</t>
    <phoneticPr fontId="51" type="noConversion"/>
  </si>
  <si>
    <t>풍  향    (풍) :</t>
    <phoneticPr fontId="51" type="noConversion"/>
  </si>
  <si>
    <t>날   씨       :</t>
    <phoneticPr fontId="2" type="noConversion"/>
  </si>
  <si>
    <t>Sm3</t>
    <phoneticPr fontId="2" type="noConversion"/>
  </si>
  <si>
    <t>가스흡입량    :</t>
    <phoneticPr fontId="2" type="noConversion"/>
  </si>
  <si>
    <t>대기압(Hpa)</t>
    <phoneticPr fontId="51" type="noConversion"/>
  </si>
  <si>
    <t>기 후 조 건</t>
    <phoneticPr fontId="2" type="noConversion"/>
  </si>
  <si>
    <t>채 취 자 (팀)</t>
    <phoneticPr fontId="2" type="noConversion"/>
  </si>
  <si>
    <t xml:space="preserve">배가스밀도(ro) </t>
    <phoneticPr fontId="2" type="noConversion"/>
  </si>
  <si>
    <t>0. 사전정보</t>
    <phoneticPr fontId="2" type="noConversion"/>
  </si>
  <si>
    <t>결과값</t>
    <phoneticPr fontId="2" type="noConversion"/>
  </si>
  <si>
    <t>M3-&gt;Ft3</t>
    <phoneticPr fontId="2" type="noConversion"/>
  </si>
  <si>
    <t>맑음</t>
    <phoneticPr fontId="2" type="noConversion"/>
  </si>
  <si>
    <t>흐림</t>
    <phoneticPr fontId="2" type="noConversion"/>
  </si>
  <si>
    <t>비</t>
    <phoneticPr fontId="2" type="noConversion"/>
  </si>
  <si>
    <t>눈</t>
    <phoneticPr fontId="2" type="noConversion"/>
  </si>
  <si>
    <t>[별지 제21호 서식]</t>
    <phoneticPr fontId="51" type="noConversion"/>
  </si>
  <si>
    <t>업       종</t>
    <phoneticPr fontId="51" type="noConversion"/>
  </si>
  <si>
    <t>굴뚝 명칭</t>
    <phoneticPr fontId="51" type="noConversion"/>
  </si>
  <si>
    <t>굴뚝 종별</t>
    <phoneticPr fontId="51" type="noConversion"/>
  </si>
  <si>
    <t>수 분 량</t>
    <phoneticPr fontId="2" type="noConversion"/>
  </si>
  <si>
    <t>m/s</t>
    <phoneticPr fontId="2" type="noConversion"/>
  </si>
  <si>
    <t>실측산소농도</t>
    <phoneticPr fontId="51" type="noConversion"/>
  </si>
  <si>
    <t>배출가스 속도</t>
    <phoneticPr fontId="51" type="noConversion"/>
  </si>
  <si>
    <t>굴 뚝</t>
    <phoneticPr fontId="51" type="noConversion"/>
  </si>
  <si>
    <t>m</t>
  </si>
  <si>
    <t xml:space="preserve"> 굴뚝내경(측정공)</t>
    <phoneticPr fontId="51" type="noConversion"/>
  </si>
  <si>
    <t>방 지 시 설</t>
    <phoneticPr fontId="51" type="noConversion"/>
  </si>
  <si>
    <t>명 칭</t>
    <phoneticPr fontId="51" type="noConversion"/>
  </si>
  <si>
    <t>대 상 물 질</t>
    <phoneticPr fontId="51" type="noConversion"/>
  </si>
  <si>
    <t>방 지 효 율</t>
    <phoneticPr fontId="51" type="noConversion"/>
  </si>
  <si>
    <t>배출시설 명칭</t>
    <phoneticPr fontId="51" type="noConversion"/>
  </si>
  <si>
    <t>측정당시 시간당 사용(생산)량</t>
    <phoneticPr fontId="51" type="noConversion"/>
  </si>
  <si>
    <t>방지시설 명칭</t>
    <phoneticPr fontId="51" type="noConversion"/>
  </si>
  <si>
    <t>연료사용량</t>
    <phoneticPr fontId="51" type="noConversion"/>
  </si>
  <si>
    <t>제품생산량</t>
    <phoneticPr fontId="51" type="noConversion"/>
  </si>
  <si>
    <t>소각량</t>
    <phoneticPr fontId="51" type="noConversion"/>
  </si>
  <si>
    <t>원료투입량</t>
    <phoneticPr fontId="51" type="noConversion"/>
  </si>
  <si>
    <t>종류</t>
    <phoneticPr fontId="51" type="noConversion"/>
  </si>
  <si>
    <t>단위</t>
    <phoneticPr fontId="51" type="noConversion"/>
  </si>
  <si>
    <t>LNG</t>
  </si>
  <si>
    <t>⑥측정분석결과</t>
    <phoneticPr fontId="51" type="noConversion"/>
  </si>
  <si>
    <t>허용 기준</t>
    <phoneticPr fontId="51" type="noConversion"/>
  </si>
  <si>
    <t>측정시간
(환경질에만 해당함)</t>
    <phoneticPr fontId="51" type="noConversion"/>
  </si>
  <si>
    <t>⑦ 종  합  의  견</t>
    <phoneticPr fontId="51" type="noConversion"/>
  </si>
  <si>
    <t>※ 액체연료는 황함유량을 ( )안에 %단위로 표기하여 주시기 바랍니다.</t>
    <phoneticPr fontId="51" type="noConversion"/>
  </si>
  <si>
    <t>도 이하</t>
    <phoneticPr fontId="2" type="noConversion"/>
  </si>
  <si>
    <r>
      <t>O</t>
    </r>
    <r>
      <rPr>
        <vertAlign val="subscript"/>
        <sz val="10"/>
        <color theme="1"/>
        <rFont val="굴림"/>
        <family val="3"/>
        <charset val="129"/>
      </rPr>
      <t>2</t>
    </r>
    <r>
      <rPr>
        <sz val="10"/>
        <color theme="1"/>
        <rFont val="굴림"/>
        <family val="3"/>
        <charset val="129"/>
      </rPr>
      <t>보정</t>
    </r>
    <phoneticPr fontId="2" type="noConversion"/>
  </si>
  <si>
    <t>부적합</t>
    <phoneticPr fontId="51" type="noConversion"/>
  </si>
  <si>
    <t>-&gt;</t>
    <phoneticPr fontId="2" type="noConversion"/>
  </si>
  <si>
    <t>측정점:</t>
    <phoneticPr fontId="2" type="noConversion"/>
  </si>
  <si>
    <r>
      <t>채취량 (Sm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</si>
  <si>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DGM 최종값 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)or(Ft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</si>
  <si>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>DGM 초기값 (M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)or(Ft</t>
    </r>
    <r>
      <rPr>
        <b/>
        <vertAlign val="superscript"/>
        <sz val="10"/>
        <color theme="1"/>
        <rFont val="굴림"/>
        <family val="3"/>
        <charset val="129"/>
      </rPr>
      <t>3</t>
    </r>
    <r>
      <rPr>
        <b/>
        <sz val="10"/>
        <color theme="1"/>
        <rFont val="굴림"/>
        <family val="3"/>
        <charset val="129"/>
      </rPr>
      <t>)</t>
    </r>
    <phoneticPr fontId="2" type="noConversion"/>
  </si>
  <si>
    <r>
      <t xml:space="preserve">산소보정항목 없을 시 </t>
    </r>
    <r>
      <rPr>
        <b/>
        <sz val="11"/>
        <color rgb="FFFF0000"/>
        <rFont val="굴림"/>
        <family val="3"/>
        <charset val="129"/>
      </rPr>
      <t>20.9</t>
    </r>
    <r>
      <rPr>
        <sz val="11"/>
        <color theme="1"/>
        <rFont val="굴림"/>
        <family val="3"/>
        <charset val="129"/>
      </rPr>
      <t xml:space="preserve"> 기입해주세요
</t>
    </r>
    <r>
      <rPr>
        <b/>
        <sz val="11"/>
        <color rgb="FFFF0000"/>
        <rFont val="굴림"/>
        <family val="3"/>
        <charset val="129"/>
      </rPr>
      <t xml:space="preserve">20.9 </t>
    </r>
    <r>
      <rPr>
        <sz val="11"/>
        <color theme="1"/>
        <rFont val="굴림"/>
        <family val="3"/>
        <charset val="129"/>
      </rPr>
      <t>안 할 시 적힌 숫자대로 유량이 보정되어버립니다</t>
    </r>
    <phoneticPr fontId="2" type="noConversion"/>
  </si>
  <si>
    <t>피토관 계수</t>
    <phoneticPr fontId="2" type="noConversion"/>
  </si>
  <si>
    <t>M5 오리피스관 보정계수(Avg.△H@)</t>
    <phoneticPr fontId="2" type="noConversion"/>
  </si>
  <si>
    <t>M5 가스미터 보정계수(Avg. Yd)</t>
    <phoneticPr fontId="2" type="noConversion"/>
  </si>
  <si>
    <t>시료채취입회자
(환경기술인)</t>
    <phoneticPr fontId="2" type="noConversion"/>
  </si>
  <si>
    <t>누출검사 확인:</t>
    <phoneticPr fontId="2" type="noConversion"/>
  </si>
  <si>
    <t>기책</t>
    <phoneticPr fontId="2" type="noConversion"/>
  </si>
  <si>
    <t>품책</t>
    <phoneticPr fontId="2" type="noConversion"/>
  </si>
  <si>
    <t>맹호수</t>
    <phoneticPr fontId="2" type="noConversion"/>
  </si>
  <si>
    <t>수은</t>
    <phoneticPr fontId="2" type="noConversion"/>
  </si>
  <si>
    <t>중금속</t>
    <phoneticPr fontId="2" type="noConversion"/>
  </si>
  <si>
    <t>VOC채취량(L)
1 L ~ 5 L</t>
    <phoneticPr fontId="2" type="noConversion"/>
  </si>
  <si>
    <t>접수번호:</t>
    <phoneticPr fontId="2" type="noConversion"/>
  </si>
  <si>
    <t>[수 분 ]</t>
    <phoneticPr fontId="2" type="noConversion"/>
  </si>
  <si>
    <t>[입자상 물질]</t>
    <phoneticPr fontId="2" type="noConversion"/>
  </si>
  <si>
    <t>위와 같이 측정분석결과를 사실대로 기록합니다.</t>
  </si>
  <si>
    <t>압력</t>
    <phoneticPr fontId="2" type="noConversion"/>
  </si>
  <si>
    <t>m(ng)</t>
    <phoneticPr fontId="2" type="noConversion"/>
  </si>
  <si>
    <t>실험결과</t>
    <phoneticPr fontId="2" type="noConversion"/>
  </si>
  <si>
    <t>Pa + P's</t>
    <phoneticPr fontId="51" type="noConversion"/>
  </si>
  <si>
    <t>Ps x t x v x An</t>
    <phoneticPr fontId="51" type="noConversion"/>
  </si>
  <si>
    <t>배출가스 압력 (mmHg : Pa + P's)</t>
    <phoneticPr fontId="51" type="noConversion"/>
  </si>
  <si>
    <t>P's</t>
    <phoneticPr fontId="51" type="noConversion"/>
  </si>
  <si>
    <t>불꽃이온화검출기법</t>
    <phoneticPr fontId="2" type="noConversion"/>
  </si>
  <si>
    <t>ES 01313.1b</t>
    <phoneticPr fontId="2" type="noConversion"/>
  </si>
  <si>
    <t>ES 01308.1b</t>
    <phoneticPr fontId="2" type="noConversion"/>
  </si>
  <si>
    <t>ES 01502.1c</t>
    <phoneticPr fontId="2" type="noConversion"/>
  </si>
  <si>
    <t>ES 01309.2c</t>
    <phoneticPr fontId="2" type="noConversion"/>
  </si>
  <si>
    <t>적합</t>
    <phoneticPr fontId="2" type="noConversion"/>
  </si>
  <si>
    <t>부적합</t>
    <phoneticPr fontId="2" type="noConversion"/>
  </si>
  <si>
    <t>박민우</t>
    <phoneticPr fontId="2" type="noConversion"/>
  </si>
  <si>
    <t>이동협</t>
    <phoneticPr fontId="2" type="noConversion"/>
  </si>
  <si>
    <t>김흥록</t>
    <phoneticPr fontId="2" type="noConversion"/>
  </si>
  <si>
    <t>정종원</t>
    <phoneticPr fontId="2" type="noConversion"/>
  </si>
  <si>
    <t xml:space="preserve">가스상 물질 자동측정 시험일지 </t>
  </si>
  <si>
    <t>접 수 일</t>
  </si>
  <si>
    <t>시 험 법</t>
  </si>
  <si>
    <t>자동연속측정법</t>
  </si>
  <si>
    <t>분 석 자</t>
  </si>
  <si>
    <t>Optima 7</t>
  </si>
  <si>
    <t>항 목</t>
  </si>
  <si>
    <t>평균 결과값</t>
  </si>
  <si>
    <t>%</t>
  </si>
  <si>
    <t>※ 관련기준 : 대기오염공정시험기준. 측정 분석값의 ( )는 표준산소농도를 말함</t>
    <phoneticPr fontId="2" type="noConversion"/>
  </si>
  <si>
    <t>시험법</t>
    <phoneticPr fontId="2" type="noConversion"/>
  </si>
  <si>
    <t>분석물질</t>
    <phoneticPr fontId="2" type="noConversion"/>
  </si>
  <si>
    <t>기기명</t>
    <phoneticPr fontId="2" type="noConversion"/>
  </si>
  <si>
    <t>측정결과</t>
    <phoneticPr fontId="2" type="noConversion"/>
  </si>
  <si>
    <t>지점명</t>
    <phoneticPr fontId="2" type="noConversion"/>
  </si>
  <si>
    <t xml:space="preserve">총탄화수소 측정에 대한 시험일지 </t>
    <phoneticPr fontId="2" type="noConversion"/>
  </si>
  <si>
    <t>기 기 명</t>
    <phoneticPr fontId="2" type="noConversion"/>
  </si>
  <si>
    <t>FID-9000</t>
    <phoneticPr fontId="2" type="noConversion"/>
  </si>
  <si>
    <t>분 석 자</t>
    <phoneticPr fontId="2" type="noConversion"/>
  </si>
  <si>
    <t>업체명</t>
    <phoneticPr fontId="2" type="noConversion"/>
  </si>
  <si>
    <t>배출시설명</t>
    <phoneticPr fontId="2" type="noConversion"/>
  </si>
  <si>
    <t>측 정  항 목</t>
    <phoneticPr fontId="2" type="noConversion"/>
  </si>
  <si>
    <t>결과</t>
    <phoneticPr fontId="2" type="noConversion"/>
  </si>
  <si>
    <t>특이사항</t>
    <phoneticPr fontId="2" type="noConversion"/>
  </si>
  <si>
    <t>(ppm)</t>
    <phoneticPr fontId="2" type="noConversion"/>
  </si>
  <si>
    <t>후단</t>
    <phoneticPr fontId="2" type="noConversion"/>
  </si>
  <si>
    <t>&lt; 측정방법 &gt;</t>
    <phoneticPr fontId="2" type="noConversion"/>
  </si>
  <si>
    <t>총탄화수소의 측정은 공정이 정상상태에서 30 분 동안 연속측정하고, 고정이나 작업 주기가 30분 이하인 경우에는 작업시간 동안 측정한다.
측정시간동안 15초 이하의 간격으로 측정결과를 저장하여 평균 측정결과를 나타내고 측정하는 동안에 필요한 사항과 공정중단이나 운전주기 등을 기록한다.</t>
    <phoneticPr fontId="2" type="noConversion"/>
  </si>
  <si>
    <t>TVA-2020</t>
    <phoneticPr fontId="2" type="noConversion"/>
  </si>
  <si>
    <t>FID-9000</t>
  </si>
  <si>
    <t>최병효</t>
    <phoneticPr fontId="2" type="noConversion"/>
  </si>
  <si>
    <t>Aa01</t>
    <phoneticPr fontId="2" type="noConversion"/>
  </si>
  <si>
    <t>Aa02</t>
  </si>
  <si>
    <t>Aa04</t>
    <phoneticPr fontId="2" type="noConversion"/>
  </si>
  <si>
    <t>Aa03</t>
    <phoneticPr fontId="2" type="noConversion"/>
  </si>
  <si>
    <t>Aa05</t>
  </si>
  <si>
    <t>Aa06</t>
  </si>
  <si>
    <t>Aa07</t>
  </si>
  <si>
    <t>ENK169</t>
    <phoneticPr fontId="2" type="noConversion"/>
  </si>
  <si>
    <t>ENK394</t>
    <phoneticPr fontId="2" type="noConversion"/>
  </si>
  <si>
    <t>ENK942</t>
    <phoneticPr fontId="2" type="noConversion"/>
  </si>
  <si>
    <t>ENK946</t>
    <phoneticPr fontId="2" type="noConversion"/>
  </si>
  <si>
    <t>ENK1297</t>
    <phoneticPr fontId="2" type="noConversion"/>
  </si>
  <si>
    <t>ENK1510</t>
    <phoneticPr fontId="2" type="noConversion"/>
  </si>
  <si>
    <t>ENK1464</t>
    <phoneticPr fontId="2" type="noConversion"/>
  </si>
  <si>
    <t>ENK931</t>
    <phoneticPr fontId="2" type="noConversion"/>
  </si>
  <si>
    <t>ENK807</t>
    <phoneticPr fontId="2" type="noConversion"/>
  </si>
  <si>
    <t>ENK1214</t>
    <phoneticPr fontId="2" type="noConversion"/>
  </si>
  <si>
    <t>노즐목록</t>
    <phoneticPr fontId="2" type="noConversion"/>
  </si>
  <si>
    <t>Aa01</t>
  </si>
  <si>
    <t>Aa02,03,04</t>
    <phoneticPr fontId="2" type="noConversion"/>
  </si>
  <si>
    <t>Aa05,06</t>
    <phoneticPr fontId="2" type="noConversion"/>
  </si>
  <si>
    <t>Aa07</t>
    <phoneticPr fontId="2" type="noConversion"/>
  </si>
  <si>
    <t>PM10</t>
    <phoneticPr fontId="2" type="noConversion"/>
  </si>
  <si>
    <t>PM2.5</t>
    <phoneticPr fontId="2" type="noConversion"/>
  </si>
  <si>
    <t>Aa01_</t>
    <phoneticPr fontId="2" type="noConversion"/>
  </si>
  <si>
    <t>풍향목록</t>
    <phoneticPr fontId="2" type="noConversion"/>
  </si>
  <si>
    <t>Aa02_03_04</t>
    <phoneticPr fontId="2" type="noConversion"/>
  </si>
  <si>
    <t>Aa05_06</t>
    <phoneticPr fontId="2" type="noConversion"/>
  </si>
  <si>
    <t>Aa07_</t>
    <phoneticPr fontId="2" type="noConversion"/>
  </si>
  <si>
    <t>동</t>
    <phoneticPr fontId="2" type="noConversion"/>
  </si>
  <si>
    <t>서</t>
    <phoneticPr fontId="2" type="noConversion"/>
  </si>
  <si>
    <t>PM10_</t>
    <phoneticPr fontId="2" type="noConversion"/>
  </si>
  <si>
    <t>남</t>
    <phoneticPr fontId="2" type="noConversion"/>
  </si>
  <si>
    <t>PM2.5_</t>
    <phoneticPr fontId="2" type="noConversion"/>
  </si>
  <si>
    <t>공정시험법상 큰노즐 사용불가</t>
    <phoneticPr fontId="2" type="noConversion"/>
  </si>
  <si>
    <t>북</t>
    <phoneticPr fontId="2" type="noConversion"/>
  </si>
  <si>
    <t>남동</t>
    <phoneticPr fontId="2" type="noConversion"/>
  </si>
  <si>
    <t>남서</t>
    <phoneticPr fontId="2" type="noConversion"/>
  </si>
  <si>
    <t>북동</t>
    <phoneticPr fontId="2" type="noConversion"/>
  </si>
  <si>
    <t>북서</t>
    <phoneticPr fontId="2" type="noConversion"/>
  </si>
  <si>
    <t>남남동</t>
    <phoneticPr fontId="2" type="noConversion"/>
  </si>
  <si>
    <t>동남동</t>
    <phoneticPr fontId="2" type="noConversion"/>
  </si>
  <si>
    <t>남남서</t>
    <phoneticPr fontId="2" type="noConversion"/>
  </si>
  <si>
    <t>서남서</t>
    <phoneticPr fontId="2" type="noConversion"/>
  </si>
  <si>
    <t>북북동</t>
    <phoneticPr fontId="2" type="noConversion"/>
  </si>
  <si>
    <t>여분 피토관</t>
    <phoneticPr fontId="2" type="noConversion"/>
  </si>
  <si>
    <t>동북동</t>
    <phoneticPr fontId="2" type="noConversion"/>
  </si>
  <si>
    <t>북북서</t>
    <phoneticPr fontId="2" type="noConversion"/>
  </si>
  <si>
    <t>서북서</t>
    <phoneticPr fontId="2" type="noConversion"/>
  </si>
  <si>
    <t>ENK921</t>
    <phoneticPr fontId="2" type="noConversion"/>
  </si>
  <si>
    <t>Yd계수표</t>
    <phoneticPr fontId="2" type="noConversion"/>
  </si>
  <si>
    <t>노즐번호
를 모른다면?</t>
    <phoneticPr fontId="2" type="noConversion"/>
  </si>
  <si>
    <t>피토관계수 기본 0.840</t>
    <phoneticPr fontId="2" type="noConversion"/>
  </si>
  <si>
    <t>예상유량(미세먼지용)(L/min)</t>
    <phoneticPr fontId="2" type="noConversion"/>
  </si>
  <si>
    <t>방법검출한계</t>
    <phoneticPr fontId="2" type="noConversion"/>
  </si>
  <si>
    <t>배출구 종별</t>
    <phoneticPr fontId="51" type="noConversion"/>
  </si>
  <si>
    <t>굴뚝 높이(측정공)</t>
    <phoneticPr fontId="51" type="noConversion"/>
  </si>
  <si>
    <t>미세먼지</t>
    <phoneticPr fontId="2" type="noConversion"/>
  </si>
  <si>
    <t>AS690</t>
    <phoneticPr fontId="2" type="noConversion"/>
  </si>
  <si>
    <t>피토관구분</t>
    <phoneticPr fontId="2" type="noConversion"/>
  </si>
  <si>
    <t>먼지_중금속</t>
  </si>
  <si>
    <t>먼지_중금속</t>
    <phoneticPr fontId="2" type="noConversion"/>
  </si>
  <si>
    <t>기기별 누출검사 진공게이지 단위</t>
    <phoneticPr fontId="2" type="noConversion"/>
  </si>
  <si>
    <t>15 inchHg</t>
    <phoneticPr fontId="2" type="noConversion"/>
  </si>
  <si>
    <t>381 mmHg</t>
    <phoneticPr fontId="2" type="noConversion"/>
  </si>
  <si>
    <t>※ppm= (mg/m3) * (22.4/mw)</t>
    <phoneticPr fontId="2" type="noConversion"/>
  </si>
  <si>
    <t>배출가스온도</t>
    <phoneticPr fontId="2" type="noConversion"/>
  </si>
  <si>
    <t>현재분책</t>
    <phoneticPr fontId="2" type="noConversion"/>
  </si>
  <si>
    <t>허정민</t>
    <phoneticPr fontId="2" type="noConversion"/>
  </si>
  <si>
    <t>접수번호</t>
    <phoneticPr fontId="2" type="noConversion"/>
  </si>
  <si>
    <t>채취일</t>
    <phoneticPr fontId="2" type="noConversion"/>
  </si>
  <si>
    <t>분석완료일</t>
    <phoneticPr fontId="2" type="noConversion"/>
  </si>
  <si>
    <t>성적서발행일</t>
    <phoneticPr fontId="2" type="noConversion"/>
  </si>
  <si>
    <t xml:space="preserve"> ~ </t>
    <phoneticPr fontId="2" type="noConversion"/>
  </si>
  <si>
    <t>정우창</t>
    <phoneticPr fontId="2" type="noConversion"/>
  </si>
  <si>
    <t>~</t>
    <phoneticPr fontId="2" type="noConversion"/>
  </si>
  <si>
    <t>암모니아</t>
    <phoneticPr fontId="51" type="noConversion"/>
  </si>
  <si>
    <t>염화수소</t>
    <phoneticPr fontId="51" type="noConversion"/>
  </si>
  <si>
    <t>이황화탄소</t>
    <phoneticPr fontId="51" type="noConversion"/>
  </si>
  <si>
    <t>황화수소</t>
    <phoneticPr fontId="51" type="noConversion"/>
  </si>
  <si>
    <t>플루오린화합물</t>
    <phoneticPr fontId="51" type="noConversion"/>
  </si>
  <si>
    <t>사이안화수소</t>
    <phoneticPr fontId="51" type="noConversion"/>
  </si>
  <si>
    <t>브로민화합물</t>
    <phoneticPr fontId="51" type="noConversion"/>
  </si>
  <si>
    <t>페놀화합물</t>
    <phoneticPr fontId="51" type="noConversion"/>
  </si>
  <si>
    <t>염화바이닐</t>
    <phoneticPr fontId="51" type="noConversion"/>
  </si>
  <si>
    <t>1,3-뷰타다이엔</t>
    <phoneticPr fontId="51" type="noConversion"/>
  </si>
  <si>
    <t>다이클로로메테인</t>
    <phoneticPr fontId="51" type="noConversion"/>
  </si>
  <si>
    <t>아크릴로나이트릴</t>
    <phoneticPr fontId="51" type="noConversion"/>
  </si>
  <si>
    <t>클로로폼</t>
    <phoneticPr fontId="51" type="noConversion"/>
  </si>
  <si>
    <t>사염화탄소</t>
    <phoneticPr fontId="51" type="noConversion"/>
  </si>
  <si>
    <t>벤젠</t>
    <phoneticPr fontId="51" type="noConversion"/>
  </si>
  <si>
    <t>1,2-다이클로로에테인</t>
    <phoneticPr fontId="51" type="noConversion"/>
  </si>
  <si>
    <t>트라이클로로에틸렌</t>
    <phoneticPr fontId="51" type="noConversion"/>
  </si>
  <si>
    <t>톨루엔</t>
    <phoneticPr fontId="51" type="noConversion"/>
  </si>
  <si>
    <t>테트라클로로에틸렌</t>
    <phoneticPr fontId="51" type="noConversion"/>
  </si>
  <si>
    <t>에틸벤젠</t>
    <phoneticPr fontId="51" type="noConversion"/>
  </si>
  <si>
    <t>자일렌</t>
    <phoneticPr fontId="51" type="noConversion"/>
  </si>
  <si>
    <t>스타이렌</t>
    <phoneticPr fontId="51" type="noConversion"/>
  </si>
  <si>
    <t>아세트알데하이드</t>
    <phoneticPr fontId="51" type="noConversion"/>
  </si>
  <si>
    <t>아크롤레인</t>
    <phoneticPr fontId="51" type="noConversion"/>
  </si>
  <si>
    <t>폼알데하이드</t>
    <phoneticPr fontId="51" type="noConversion"/>
  </si>
  <si>
    <t>자외선/가시선분광법-인도페놀법</t>
    <phoneticPr fontId="2" type="noConversion"/>
  </si>
  <si>
    <t>자외선가시선분광법-메틸렌블루법</t>
    <phoneticPr fontId="2" type="noConversion"/>
  </si>
  <si>
    <t>자외선/가시선분광법- 4-피리딘카복실산-피라졸론법</t>
    <phoneticPr fontId="2" type="noConversion"/>
  </si>
  <si>
    <t>냉증기 원자흡수분광광도법</t>
    <phoneticPr fontId="2" type="noConversion"/>
  </si>
  <si>
    <t>고성능액체크로마토그래피</t>
    <phoneticPr fontId="2" type="noConversion"/>
  </si>
  <si>
    <t>항목나열순서</t>
    <phoneticPr fontId="2" type="noConversion"/>
  </si>
  <si>
    <t>외 1명     (인)</t>
    <phoneticPr fontId="2" type="noConversion"/>
  </si>
  <si>
    <t>외 1명    (인)</t>
    <phoneticPr fontId="2" type="noConversion"/>
  </si>
  <si>
    <t>외 1명 복붙</t>
  </si>
  <si>
    <t>외 1명 복붙</t>
    <phoneticPr fontId="2" type="noConversion"/>
  </si>
  <si>
    <t>(인),</t>
    <phoneticPr fontId="2" type="noConversion"/>
  </si>
  <si>
    <t>가스상</t>
    <phoneticPr fontId="2" type="noConversion"/>
  </si>
  <si>
    <t>발행일</t>
    <phoneticPr fontId="2" type="noConversion"/>
  </si>
  <si>
    <t>접수일</t>
    <phoneticPr fontId="2" type="noConversion"/>
  </si>
  <si>
    <t>&lt; 농도 계산 &gt;</t>
    <phoneticPr fontId="2" type="noConversion"/>
  </si>
  <si>
    <t>&lt; QC 관련 정보 &gt;</t>
    <phoneticPr fontId="2" type="noConversion"/>
  </si>
  <si>
    <t>&lt; 기기 분석 조건 (기기에 한함) &gt;</t>
    <phoneticPr fontId="2" type="noConversion"/>
  </si>
  <si>
    <t>QC 시료의 참값</t>
  </si>
  <si>
    <t>ICV 정확도 (%R)</t>
    <phoneticPr fontId="2" type="noConversion"/>
  </si>
  <si>
    <t>CCV 정확도 (%R)</t>
    <phoneticPr fontId="2" type="noConversion"/>
  </si>
  <si>
    <t xml:space="preserve"> % R (% recovery) = 측정값 / 참값 x 100</t>
    <phoneticPr fontId="2" type="noConversion"/>
  </si>
  <si>
    <t>(총탄화수소)</t>
    <phoneticPr fontId="2" type="noConversion"/>
  </si>
  <si>
    <t>최종결과</t>
    <phoneticPr fontId="2" type="noConversion"/>
  </si>
  <si>
    <t>시료명</t>
    <phoneticPr fontId="2" type="noConversion"/>
  </si>
  <si>
    <t>(%)</t>
    <phoneticPr fontId="51" type="noConversion"/>
  </si>
  <si>
    <t>채취량(V'm)</t>
    <phoneticPr fontId="51" type="noConversion"/>
  </si>
  <si>
    <t>온도(θm)</t>
    <phoneticPr fontId="51" type="noConversion"/>
  </si>
  <si>
    <t>대기압(Pa)</t>
    <phoneticPr fontId="2" type="noConversion"/>
  </si>
  <si>
    <t>오리피스압차(ΔH)</t>
    <phoneticPr fontId="51" type="noConversion"/>
  </si>
  <si>
    <t>표준산소농도(Os)</t>
    <phoneticPr fontId="51" type="noConversion"/>
  </si>
  <si>
    <t>실측산소농도(Oa)</t>
    <phoneticPr fontId="51" type="noConversion"/>
  </si>
  <si>
    <t>(m3)</t>
    <phoneticPr fontId="51" type="noConversion"/>
  </si>
  <si>
    <t>(℃)</t>
    <phoneticPr fontId="51" type="noConversion"/>
  </si>
  <si>
    <t>(mmH2O)</t>
    <phoneticPr fontId="51" type="noConversion"/>
  </si>
  <si>
    <t>mg/Sm3</t>
    <phoneticPr fontId="51" type="noConversion"/>
  </si>
  <si>
    <t>&lt; 표준산소농도 적용시 농도 계산 &gt;</t>
    <phoneticPr fontId="51" type="noConversion"/>
  </si>
  <si>
    <t>C :</t>
    <phoneticPr fontId="51" type="noConversion"/>
  </si>
  <si>
    <t>표준산소농도 적용시의 농도(mg/Sm3 또는 ppm)</t>
    <phoneticPr fontId="51" type="noConversion"/>
  </si>
  <si>
    <t>포집전</t>
    <phoneticPr fontId="2" type="noConversion"/>
  </si>
  <si>
    <t>포집후</t>
    <phoneticPr fontId="2" type="noConversion"/>
  </si>
  <si>
    <r>
      <t>굴뚝 단면적(m</t>
    </r>
    <r>
      <rPr>
        <vertAlign val="super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)</t>
    </r>
    <phoneticPr fontId="51" type="noConversion"/>
  </si>
  <si>
    <r>
      <t>건식가스미터에서 읽은 가스시료 채취량(m</t>
    </r>
    <r>
      <rPr>
        <vertAlign val="superscript"/>
        <sz val="11"/>
        <rFont val="맑은 고딕"/>
        <family val="3"/>
        <charset val="129"/>
        <scheme val="major"/>
      </rPr>
      <t>3</t>
    </r>
    <r>
      <rPr>
        <sz val="11"/>
        <rFont val="맑은 고딕"/>
        <family val="3"/>
        <charset val="129"/>
        <scheme val="major"/>
      </rPr>
      <t>)</t>
    </r>
    <phoneticPr fontId="51" type="noConversion"/>
  </si>
  <si>
    <r>
      <t>오리피스 압차(mmH</t>
    </r>
    <r>
      <rPr>
        <vertAlign val="sub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O)</t>
    </r>
    <phoneticPr fontId="51" type="noConversion"/>
  </si>
  <si>
    <r>
      <t>실측오염물질농도(mg/Sm</t>
    </r>
    <r>
      <rPr>
        <vertAlign val="superscript"/>
        <sz val="11"/>
        <rFont val="맑은 고딕"/>
        <family val="3"/>
        <charset val="129"/>
        <scheme val="major"/>
      </rPr>
      <t>3</t>
    </r>
    <r>
      <rPr>
        <sz val="11"/>
        <rFont val="맑은 고딕"/>
        <family val="3"/>
        <charset val="129"/>
        <scheme val="major"/>
      </rPr>
      <t xml:space="preserve"> 또는 ppm)</t>
    </r>
    <phoneticPr fontId="51" type="noConversion"/>
  </si>
  <si>
    <t>무게
(g)</t>
    <phoneticPr fontId="51" type="noConversion"/>
  </si>
  <si>
    <t>2022년 공휴일(6월부터)</t>
    <phoneticPr fontId="51" type="noConversion"/>
  </si>
  <si>
    <t>지방선거일</t>
    <phoneticPr fontId="51" type="noConversion"/>
  </si>
  <si>
    <t>현충일</t>
    <phoneticPr fontId="51" type="noConversion"/>
  </si>
  <si>
    <t>광복절</t>
    <phoneticPr fontId="51" type="noConversion"/>
  </si>
  <si>
    <t>추석 대체공휴일</t>
    <phoneticPr fontId="51" type="noConversion"/>
  </si>
  <si>
    <t>개천절</t>
    <phoneticPr fontId="51" type="noConversion"/>
  </si>
  <si>
    <t>한글날 대체공휴일</t>
    <phoneticPr fontId="51" type="noConversion"/>
  </si>
  <si>
    <t>크리스마스</t>
    <phoneticPr fontId="51" type="noConversion"/>
  </si>
  <si>
    <t>한 국 종 합  환  경  산  업  ㈜</t>
    <phoneticPr fontId="51" type="noConversion"/>
  </si>
  <si>
    <t>한국종합환경산업㈜</t>
    <phoneticPr fontId="2" type="noConversion"/>
  </si>
  <si>
    <t>백희석</t>
    <phoneticPr fontId="2" type="noConversion"/>
  </si>
  <si>
    <t>진수일</t>
    <phoneticPr fontId="2" type="noConversion"/>
  </si>
  <si>
    <t>S㎥/hr</t>
    <phoneticPr fontId="2" type="noConversion"/>
  </si>
  <si>
    <t>ES 01305.2d</t>
    <phoneticPr fontId="2" type="noConversion"/>
  </si>
  <si>
    <t>ES 01303.1d</t>
    <phoneticPr fontId="2" type="noConversion"/>
  </si>
  <si>
    <t>ES 01310.1d</t>
    <phoneticPr fontId="2" type="noConversion"/>
  </si>
  <si>
    <t>ES 01503.2c</t>
    <phoneticPr fontId="2" type="noConversion"/>
  </si>
  <si>
    <t>김항재</t>
    <phoneticPr fontId="2" type="noConversion"/>
  </si>
  <si>
    <t>ES 01511.1d</t>
  </si>
  <si>
    <t>ES 01400.2d</t>
    <phoneticPr fontId="2" type="noConversion"/>
  </si>
  <si>
    <t>ES 01307.1b</t>
    <phoneticPr fontId="2" type="noConversion"/>
  </si>
  <si>
    <t>ES 01304.2c</t>
    <phoneticPr fontId="2" type="noConversion"/>
  </si>
  <si>
    <t>ES 01507.1d</t>
    <phoneticPr fontId="2" type="noConversion"/>
  </si>
  <si>
    <t>김항재</t>
    <phoneticPr fontId="51" type="noConversion"/>
  </si>
  <si>
    <t>비소</t>
    <phoneticPr fontId="51" type="noConversion"/>
  </si>
  <si>
    <t>카드뮴</t>
    <phoneticPr fontId="51" type="noConversion"/>
  </si>
  <si>
    <t>크로뮴</t>
    <phoneticPr fontId="51" type="noConversion"/>
  </si>
  <si>
    <t>수은</t>
    <phoneticPr fontId="51" type="noConversion"/>
  </si>
  <si>
    <t>베릴륨</t>
    <phoneticPr fontId="51" type="noConversion"/>
  </si>
  <si>
    <t>정 우 창</t>
    <phoneticPr fontId="2" type="noConversion"/>
  </si>
  <si>
    <t>배   출   업   소</t>
    <phoneticPr fontId="51" type="noConversion"/>
  </si>
  <si>
    <t>업  소  명</t>
    <phoneticPr fontId="51" type="noConversion"/>
  </si>
  <si>
    <t>관  리  인</t>
    <phoneticPr fontId="51" type="noConversion"/>
  </si>
  <si>
    <t>사업장 종별</t>
    <phoneticPr fontId="51" type="noConversion"/>
  </si>
  <si>
    <t>배출구 종별</t>
    <phoneticPr fontId="2" type="noConversion"/>
  </si>
  <si>
    <t>60(4)</t>
    <phoneticPr fontId="2" type="noConversion"/>
  </si>
  <si>
    <t>⑤ 
시 설 가 동 상 황</t>
    <phoneticPr fontId="51" type="noConversion"/>
  </si>
  <si>
    <t xml:space="preserve">작 성 </t>
    <phoneticPr fontId="2" type="noConversion"/>
  </si>
  <si>
    <t>승 인</t>
    <phoneticPr fontId="2" type="noConversion"/>
  </si>
  <si>
    <t xml:space="preserve">작성 </t>
    <phoneticPr fontId="2" type="noConversion"/>
  </si>
  <si>
    <t>승인</t>
    <phoneticPr fontId="2" type="noConversion"/>
  </si>
  <si>
    <r>
      <t>O</t>
    </r>
    <r>
      <rPr>
        <vertAlign val="subscript"/>
        <sz val="10"/>
        <color rgb="FF000000"/>
        <rFont val="맑은 고딕"/>
        <family val="3"/>
        <charset val="129"/>
        <scheme val="minor"/>
      </rPr>
      <t>2</t>
    </r>
    <phoneticPr fontId="2" type="noConversion"/>
  </si>
  <si>
    <r>
      <t>CO</t>
    </r>
    <r>
      <rPr>
        <vertAlign val="subscript"/>
        <sz val="10"/>
        <color rgb="FF000000"/>
        <rFont val="맑은 고딕"/>
        <family val="3"/>
        <charset val="129"/>
        <scheme val="minor"/>
      </rPr>
      <t>2</t>
    </r>
    <phoneticPr fontId="2" type="noConversion"/>
  </si>
  <si>
    <t>이황화메틸</t>
    <phoneticPr fontId="51" type="noConversion"/>
  </si>
  <si>
    <t>ES 01521.a</t>
    <phoneticPr fontId="2" type="noConversion"/>
  </si>
  <si>
    <t>Pυ</t>
    <phoneticPr fontId="51" type="noConversion"/>
  </si>
  <si>
    <r>
      <t>P</t>
    </r>
    <r>
      <rPr>
        <sz val="9"/>
        <rFont val="맑은 고딕"/>
        <family val="3"/>
        <charset val="129"/>
        <scheme val="minor"/>
      </rPr>
      <t>a</t>
    </r>
    <phoneticPr fontId="51" type="noConversion"/>
  </si>
  <si>
    <r>
      <t>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</si>
  <si>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kg/m</t>
    </r>
    <r>
      <rPr>
        <vertAlign val="superscript"/>
        <sz val="10"/>
        <rFont val="맑은 고딕"/>
        <family val="3"/>
        <charset val="129"/>
        <scheme val="minor"/>
      </rPr>
      <t>3</t>
    </r>
    <phoneticPr fontId="51" type="noConversion"/>
  </si>
  <si>
    <r>
      <t>r</t>
    </r>
    <r>
      <rPr>
        <vertAlign val="subscript"/>
        <sz val="10"/>
        <rFont val="맑은 고딕"/>
        <family val="3"/>
        <charset val="129"/>
        <scheme val="minor"/>
      </rPr>
      <t>o</t>
    </r>
    <phoneticPr fontId="51" type="noConversion"/>
  </si>
  <si>
    <r>
      <t>1.667 x 10</t>
    </r>
    <r>
      <rPr>
        <vertAlign val="superscript"/>
        <sz val="11"/>
        <rFont val="맑은 고딕"/>
        <family val="3"/>
        <charset val="129"/>
        <scheme val="minor"/>
      </rPr>
      <t>4</t>
    </r>
    <phoneticPr fontId="51" type="noConversion"/>
  </si>
  <si>
    <r>
      <t>10</t>
    </r>
    <r>
      <rPr>
        <vertAlign val="superscript"/>
        <sz val="10"/>
        <rFont val="맑은 고딕"/>
        <family val="3"/>
        <charset val="129"/>
        <scheme val="minor"/>
      </rPr>
      <t xml:space="preserve">4 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</si>
  <si>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r</t>
    </r>
    <r>
      <rPr>
        <vertAlign val="subscript"/>
        <sz val="10"/>
        <rFont val="맑은 고딕"/>
        <family val="3"/>
        <charset val="129"/>
        <scheme val="minor"/>
      </rPr>
      <t>o</t>
    </r>
    <r>
      <rPr>
        <sz val="10"/>
        <rFont val="맑은 고딕"/>
        <family val="3"/>
        <charset val="129"/>
        <scheme val="minor"/>
      </rPr>
      <t xml:space="preserve"> :</t>
    </r>
    <phoneticPr fontId="51" type="noConversion"/>
  </si>
  <si>
    <r>
      <t>표준상태로 환산한 습한 배출가스 밀도 (kg/Sm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</si>
  <si>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중력 가속도 (9.81m/s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</si>
  <si>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피토우관에 의한 동압 평균치(mmH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</si>
  <si>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굴뚝내의 습한배출가스밀도(kg/m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</si>
  <si>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건식가스미터에서 읽은 가스시료 채취량(m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</si>
  <si>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오리피스 압차(mmH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</si>
  <si>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노즐의 단면적(cm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</si>
  <si>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Pυ  :  배출가스 온도에 따른 포화수증기압 (mmHg)</t>
    <phoneticPr fontId="2" type="noConversion"/>
  </si>
  <si>
    <r>
      <t>(Sm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/h)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</si>
  <si>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</t>
    </r>
    <phoneticPr fontId="51" type="noConversion"/>
  </si>
  <si>
    <r>
      <t>먼지농도 계산 (mg/Sm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</si>
  <si>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mg/Sm</t>
    </r>
    <r>
      <rPr>
        <vertAlign val="superscript"/>
        <sz val="10"/>
        <rFont val="맑은 고딕"/>
        <family val="3"/>
        <charset val="129"/>
        <scheme val="minor"/>
      </rPr>
      <t>3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</si>
  <si>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/hr</t>
    </r>
    <phoneticPr fontId="51" type="noConversion"/>
  </si>
  <si>
    <r>
      <t>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/min</t>
    </r>
    <phoneticPr fontId="2" type="noConversion"/>
  </si>
  <si>
    <r>
      <t>굴뚝 단면적(m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</si>
  <si>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실측오염물질농도(mg/Sm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 xml:space="preserve"> 또는 ppm)</t>
    </r>
    <phoneticPr fontId="51" type="noConversion"/>
  </si>
  <si>
    <r>
      <t>실측배출가스유량(Sm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/h)</t>
    </r>
    <phoneticPr fontId="51" type="noConversion"/>
  </si>
  <si>
    <t>이강혁</t>
    <phoneticPr fontId="2" type="noConversion"/>
  </si>
  <si>
    <t>신민석</t>
    <phoneticPr fontId="2" type="noConversion"/>
  </si>
  <si>
    <t>승 인</t>
    <phoneticPr fontId="51" type="noConversion"/>
  </si>
  <si>
    <t xml:space="preserve">먼지 시험일지 </t>
    <phoneticPr fontId="2" type="noConversion"/>
  </si>
  <si>
    <t>바탕여지번호</t>
    <phoneticPr fontId="2" type="noConversion"/>
  </si>
  <si>
    <t>측정여지번호</t>
    <phoneticPr fontId="2" type="noConversion"/>
  </si>
  <si>
    <t>Mda</t>
    <phoneticPr fontId="2" type="noConversion"/>
  </si>
  <si>
    <t>Mdb</t>
    <phoneticPr fontId="2" type="noConversion"/>
  </si>
  <si>
    <t>Mda-Mdb</t>
    <phoneticPr fontId="2" type="noConversion"/>
  </si>
  <si>
    <t xml:space="preserve">md </t>
    <phoneticPr fontId="2" type="noConversion"/>
  </si>
  <si>
    <t>mda :</t>
    <phoneticPr fontId="51" type="noConversion"/>
  </si>
  <si>
    <t>mdb :</t>
    <phoneticPr fontId="51" type="noConversion"/>
  </si>
  <si>
    <t>바탕여지의 무게차(mg)</t>
    <phoneticPr fontId="51" type="noConversion"/>
  </si>
  <si>
    <t>포집된 먼지량 - 바탕여지의 무게차(mg)</t>
    <phoneticPr fontId="51" type="noConversion"/>
  </si>
  <si>
    <t>mda</t>
    <phoneticPr fontId="2" type="noConversion"/>
  </si>
  <si>
    <t>mdb</t>
    <phoneticPr fontId="2" type="noConversion"/>
  </si>
  <si>
    <t>( md = mda - mdb )</t>
    <phoneticPr fontId="2" type="noConversion"/>
  </si>
  <si>
    <t>암모니아</t>
    <phoneticPr fontId="2" type="noConversion"/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</si>
  <si>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</si>
  <si>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</si>
  <si>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</si>
  <si>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</si>
  <si>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</si>
  <si>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</si>
  <si>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</si>
  <si>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</si>
  <si>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</si>
  <si>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</si>
  <si>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</si>
  <si>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</si>
  <si>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</si>
  <si>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</si>
  <si>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염화바이닐</t>
    <phoneticPr fontId="2" type="noConversion"/>
  </si>
  <si>
    <t>1,3-뷰타다이엔</t>
    <phoneticPr fontId="2" type="noConversion"/>
  </si>
  <si>
    <t>다이클로로메테인</t>
    <phoneticPr fontId="2" type="noConversion"/>
  </si>
  <si>
    <t>아크릴로나이트릴</t>
    <phoneticPr fontId="2" type="noConversion"/>
  </si>
  <si>
    <t>클로로폼</t>
    <phoneticPr fontId="2" type="noConversion"/>
  </si>
  <si>
    <t>사염화탄소</t>
    <phoneticPr fontId="2" type="noConversion"/>
  </si>
  <si>
    <t>벤젠</t>
    <phoneticPr fontId="2" type="noConversion"/>
  </si>
  <si>
    <t>1,2-다이클로로에테인</t>
    <phoneticPr fontId="2" type="noConversion"/>
  </si>
  <si>
    <t>트라이클로로에틸렌</t>
    <phoneticPr fontId="2" type="noConversion"/>
  </si>
  <si>
    <t>톨루엔</t>
    <phoneticPr fontId="2" type="noConversion"/>
  </si>
  <si>
    <t>테트라클로로에틸렌</t>
    <phoneticPr fontId="2" type="noConversion"/>
  </si>
  <si>
    <t>에틸벤젠</t>
    <phoneticPr fontId="2" type="noConversion"/>
  </si>
  <si>
    <t>자일렌</t>
    <phoneticPr fontId="2" type="noConversion"/>
  </si>
  <si>
    <t>스타이렌</t>
    <phoneticPr fontId="2" type="noConversion"/>
  </si>
  <si>
    <t>이황화메틸</t>
    <phoneticPr fontId="2" type="noConversion"/>
  </si>
  <si>
    <t>33.</t>
    <phoneticPr fontId="2" type="noConversion"/>
  </si>
  <si>
    <t>34.</t>
  </si>
  <si>
    <t>35.</t>
  </si>
  <si>
    <t>폼알데하이드</t>
    <phoneticPr fontId="2" type="noConversion"/>
  </si>
  <si>
    <t>아세트알데하이드</t>
    <phoneticPr fontId="2" type="noConversion"/>
  </si>
  <si>
    <t>아크롤레인</t>
    <phoneticPr fontId="2" type="noConversion"/>
  </si>
  <si>
    <t>작성</t>
    <phoneticPr fontId="2" type="noConversion"/>
  </si>
  <si>
    <t>소  재  지</t>
    <phoneticPr fontId="51" type="noConversion"/>
  </si>
  <si>
    <t>대  표  자</t>
    <phoneticPr fontId="51" type="noConversion"/>
  </si>
  <si>
    <t>배출  시설</t>
    <phoneticPr fontId="51" type="noConversion"/>
  </si>
  <si>
    <t>V</t>
    <phoneticPr fontId="2" type="noConversion"/>
  </si>
  <si>
    <t>염화수소</t>
    <phoneticPr fontId="2" type="noConversion"/>
  </si>
  <si>
    <t>비소</t>
    <phoneticPr fontId="2" type="noConversion"/>
  </si>
  <si>
    <t>상                 호</t>
    <phoneticPr fontId="51" type="noConversion"/>
  </si>
  <si>
    <t>소재지 및 연락처</t>
    <phoneticPr fontId="51" type="noConversion"/>
  </si>
  <si>
    <t>대 표 자    성  명</t>
    <phoneticPr fontId="51" type="noConversion"/>
  </si>
  <si>
    <t>※ 본 성적서는 KS Q ISO/IEC 17025 및 KOLAS 인정과 관련이 없음.</t>
  </si>
  <si>
    <t>mg/S㎥</t>
    <phoneticPr fontId="2" type="noConversion"/>
  </si>
  <si>
    <t>바탕여지의 무게차(mdb)</t>
    <phoneticPr fontId="51" type="noConversion"/>
  </si>
  <si>
    <t>포집된 먼지량 - 
바탕여지의 무게차(md)</t>
    <phoneticPr fontId="51" type="noConversion"/>
  </si>
  <si>
    <t>포집된먼지량(mda)</t>
    <phoneticPr fontId="51" type="noConversion"/>
  </si>
  <si>
    <t>이 나 영</t>
    <phoneticPr fontId="51" type="noConversion"/>
  </si>
  <si>
    <t>배출가스온도</t>
    <phoneticPr fontId="51" type="noConversion"/>
  </si>
  <si>
    <t>표준산소농도</t>
    <phoneticPr fontId="2" type="noConversion"/>
  </si>
  <si>
    <t>우 여 주</t>
    <phoneticPr fontId="2" type="noConversion"/>
  </si>
  <si>
    <t>산 소 농 도</t>
    <phoneticPr fontId="2" type="noConversion"/>
  </si>
  <si>
    <t>S㎥/분</t>
    <phoneticPr fontId="2" type="noConversion"/>
  </si>
  <si>
    <t>염화수소</t>
  </si>
  <si>
    <t>보정 전 유량</t>
    <phoneticPr fontId="51" type="noConversion"/>
  </si>
  <si>
    <t>보정 후 유량</t>
    <phoneticPr fontId="2" type="noConversion"/>
  </si>
  <si>
    <t>이 나 영</t>
    <phoneticPr fontId="2" type="noConversion"/>
  </si>
  <si>
    <t>사이안화수소</t>
    <phoneticPr fontId="2" type="noConversion"/>
  </si>
  <si>
    <t>배 출 가 스 유 량</t>
    <phoneticPr fontId="2" type="noConversion"/>
  </si>
  <si>
    <t>보정 전 유량(S㎥/분) :</t>
    <phoneticPr fontId="51" type="noConversion"/>
  </si>
  <si>
    <t xml:space="preserve">자외선가시선분광법-싸이오사이안산제이수은법 </t>
    <phoneticPr fontId="2" type="noConversion"/>
  </si>
  <si>
    <t>자외선/가시선분광법-란타넘-알리자린콤플렉손법</t>
    <phoneticPr fontId="2" type="noConversion"/>
  </si>
  <si>
    <t>자외선/가시선분광법-4-아미노안티피린법</t>
    <phoneticPr fontId="2" type="noConversion"/>
  </si>
  <si>
    <t>저온농충-모세관컬럼-기체크로마토그래피</t>
    <phoneticPr fontId="2" type="noConversion"/>
  </si>
  <si>
    <t>한 국 종 합  환  경  산  업  ㈜</t>
  </si>
  <si>
    <t>김항재</t>
  </si>
  <si>
    <t>(서명 또는 인)</t>
  </si>
  <si>
    <t xml:space="preserve"> A. 수분량</t>
    <phoneticPr fontId="2" type="noConversion"/>
  </si>
  <si>
    <t>％</t>
    <phoneticPr fontId="2" type="noConversion"/>
  </si>
  <si>
    <t>x</t>
    <phoneticPr fontId="2" type="noConversion"/>
  </si>
  <si>
    <t xml:space="preserve"> B. 배출가스밀도 =</t>
    <phoneticPr fontId="2" type="noConversion"/>
  </si>
  <si>
    <t>ro =</t>
    <phoneticPr fontId="2" type="noConversion"/>
  </si>
  <si>
    <t xml:space="preserve"> C. 배출가스유속 =</t>
    <phoneticPr fontId="2" type="noConversion"/>
  </si>
  <si>
    <t xml:space="preserve"> D. 임핀저와 실리카겔에 채취된 물의 총량 =</t>
    <phoneticPr fontId="2" type="noConversion"/>
  </si>
  <si>
    <t>mL</t>
    <phoneticPr fontId="2" type="noConversion"/>
  </si>
  <si>
    <t>Vic</t>
    <phoneticPr fontId="2" type="noConversion"/>
  </si>
  <si>
    <t xml:space="preserve"> E. 등속흡인계수 계산( I factor) =</t>
    <phoneticPr fontId="2" type="noConversion"/>
  </si>
  <si>
    <t>I</t>
    <phoneticPr fontId="2" type="noConversion"/>
  </si>
  <si>
    <t>) [</t>
    <phoneticPr fontId="2" type="noConversion"/>
  </si>
  <si>
    <t>0.00346 (</t>
    <phoneticPr fontId="2" type="noConversion"/>
  </si>
  <si>
    <t>) / (</t>
    <phoneticPr fontId="2" type="noConversion"/>
  </si>
  <si>
    <t>) x ((</t>
    <phoneticPr fontId="2" type="noConversion"/>
  </si>
  <si>
    <t>) + (</t>
    <phoneticPr fontId="2" type="noConversion"/>
  </si>
  <si>
    <t>)]</t>
    <phoneticPr fontId="2" type="noConversion"/>
  </si>
  <si>
    <t>( 1.667</t>
    <phoneticPr fontId="2" type="noConversion"/>
  </si>
  <si>
    <r>
      <t>10</t>
    </r>
    <r>
      <rPr>
        <sz val="12"/>
        <color theme="1"/>
        <rFont val="맑은 고딕"/>
        <family val="3"/>
        <charset val="129"/>
      </rPr>
      <t xml:space="preserve">⁴ </t>
    </r>
    <r>
      <rPr>
        <sz val="10"/>
        <color theme="1"/>
        <rFont val="맑은 고딕"/>
        <family val="3"/>
        <charset val="129"/>
        <scheme val="major"/>
      </rPr>
      <t>)</t>
    </r>
    <phoneticPr fontId="2" type="noConversion"/>
  </si>
  <si>
    <t>) x (</t>
    <phoneticPr fontId="2" type="noConversion"/>
  </si>
  <si>
    <t xml:space="preserve"> A. 수분량(%)</t>
    <phoneticPr fontId="51" type="noConversion"/>
  </si>
  <si>
    <t>ma</t>
    <phoneticPr fontId="2" type="noConversion"/>
  </si>
  <si>
    <t xml:space="preserve"> B. 배출가스밀도(kg/m3)</t>
    <phoneticPr fontId="2" type="noConversion"/>
  </si>
  <si>
    <t xml:space="preserve"> C. 배출가스유속(m/s)</t>
    <phoneticPr fontId="2" type="noConversion"/>
  </si>
  <si>
    <t>Vm</t>
  </si>
  <si>
    <t>273+θs</t>
  </si>
  <si>
    <t xml:space="preserve"> D. 임핀저와 실리카겔에 채취된 물의 총량(mL)</t>
    <phoneticPr fontId="2" type="noConversion"/>
  </si>
  <si>
    <t xml:space="preserve"> E. 등속흡인계수 계산( I factor %)</t>
    <phoneticPr fontId="2" type="noConversion"/>
  </si>
  <si>
    <t>Vs</t>
    <phoneticPr fontId="2" type="noConversion"/>
  </si>
  <si>
    <t>x  (</t>
    <phoneticPr fontId="2" type="noConversion"/>
  </si>
  <si>
    <t>)  x</t>
    <phoneticPr fontId="2" type="noConversion"/>
  </si>
  <si>
    <t>Ts [0.00346Vic + V'm/Tm(Pa+ΔH/13.6)]</t>
    <phoneticPr fontId="2" type="noConversion"/>
  </si>
  <si>
    <r>
      <t>1.667 x 10</t>
    </r>
    <r>
      <rPr>
        <vertAlign val="superscript"/>
        <sz val="10"/>
        <rFont val="맑은 고딕"/>
        <family val="3"/>
        <charset val="129"/>
        <scheme val="minor"/>
      </rPr>
      <t>4</t>
    </r>
    <phoneticPr fontId="51" type="noConversion"/>
  </si>
  <si>
    <t>100-Xw</t>
    <phoneticPr fontId="2" type="noConversion"/>
  </si>
  <si>
    <t>습배기가스중의 수증기 부피 백분율(%)</t>
    <phoneticPr fontId="51" type="noConversion"/>
  </si>
  <si>
    <t>흡습수분의 질량(ma2-ma1)(g)</t>
    <phoneticPr fontId="51" type="noConversion"/>
  </si>
  <si>
    <t>흡인한 건조량(건식가스미터에서 읽은 값)(L)</t>
    <phoneticPr fontId="51" type="noConversion"/>
  </si>
  <si>
    <r>
      <t>표준상태로 환산한 습한 배출가스 밀도(kg/Sm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</si>
  <si>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중력 가속도(9.81m/s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</si>
  <si>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r>
      <t>굴뚝내의습한배출가스밀도(kg/m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</si>
  <si>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Tm :</t>
    <phoneticPr fontId="51" type="noConversion"/>
  </si>
  <si>
    <t>총시료 채취시간(min)</t>
    <phoneticPr fontId="51" type="noConversion"/>
  </si>
  <si>
    <t xml:space="preserve"> A. 배출가스량 계산 =</t>
    <phoneticPr fontId="2" type="noConversion"/>
  </si>
  <si>
    <t>Qa</t>
    <phoneticPr fontId="2" type="noConversion"/>
  </si>
  <si>
    <t>( 1 -</t>
    <phoneticPr fontId="2" type="noConversion"/>
  </si>
  <si>
    <t>273 + (</t>
    <phoneticPr fontId="2" type="noConversion"/>
  </si>
  <si>
    <t xml:space="preserve"> B. 먼지농도 계산 =</t>
    <phoneticPr fontId="2" type="noConversion"/>
  </si>
  <si>
    <t>mg/Sm³</t>
    <phoneticPr fontId="2" type="noConversion"/>
  </si>
  <si>
    <t>Ca</t>
    <phoneticPr fontId="2" type="noConversion"/>
  </si>
  <si>
    <t>) x</t>
    <phoneticPr fontId="2" type="noConversion"/>
  </si>
  <si>
    <t>) / 13.6</t>
    <phoneticPr fontId="2" type="noConversion"/>
  </si>
  <si>
    <t xml:space="preserve"> C. 먼지농도 =</t>
    <phoneticPr fontId="2" type="noConversion"/>
  </si>
  <si>
    <t>21 - (</t>
    <phoneticPr fontId="2" type="noConversion"/>
  </si>
  <si>
    <t xml:space="preserve"> D. 배출가스유량 =</t>
    <phoneticPr fontId="2" type="noConversion"/>
  </si>
  <si>
    <t>Sm³/hr,   (</t>
    <phoneticPr fontId="2" type="noConversion"/>
  </si>
  <si>
    <t>Sm³/min)</t>
    <phoneticPr fontId="2" type="noConversion"/>
  </si>
  <si>
    <t>Q</t>
    <phoneticPr fontId="2" type="noConversion"/>
  </si>
  <si>
    <t>)  /</t>
    <phoneticPr fontId="2" type="noConversion"/>
  </si>
  <si>
    <r>
      <t xml:space="preserve"> A. 배출가스량 계산(Sm</t>
    </r>
    <r>
      <rPr>
        <sz val="13"/>
        <rFont val="맑은 고딕"/>
        <family val="3"/>
        <charset val="129"/>
        <scheme val="minor"/>
      </rPr>
      <t>³</t>
    </r>
    <r>
      <rPr>
        <sz val="10"/>
        <rFont val="맑은 고딕"/>
        <family val="3"/>
        <charset val="129"/>
        <scheme val="minor"/>
      </rPr>
      <t>/h)</t>
    </r>
    <phoneticPr fontId="2" type="noConversion"/>
  </si>
  <si>
    <r>
      <t xml:space="preserve"> B. 먼지농도 계산(mg/Sm</t>
    </r>
    <r>
      <rPr>
        <sz val="13"/>
        <rFont val="맑은 고딕"/>
        <family val="3"/>
        <charset val="129"/>
        <scheme val="minor"/>
      </rPr>
      <t>³</t>
    </r>
    <r>
      <rPr>
        <sz val="10"/>
        <rFont val="맑은 고딕"/>
        <family val="3"/>
        <charset val="129"/>
        <scheme val="minor"/>
      </rPr>
      <t>)</t>
    </r>
    <phoneticPr fontId="2" type="noConversion"/>
  </si>
  <si>
    <t>*md = mda-mdb</t>
    <phoneticPr fontId="2" type="noConversion"/>
  </si>
  <si>
    <t>A</t>
    <phoneticPr fontId="2" type="noConversion"/>
  </si>
  <si>
    <t>Pa + P's</t>
    <phoneticPr fontId="2" type="noConversion"/>
  </si>
  <si>
    <t>md</t>
    <phoneticPr fontId="2" type="noConversion"/>
  </si>
  <si>
    <t>θs</t>
    <phoneticPr fontId="2" type="noConversion"/>
  </si>
  <si>
    <t>V'm</t>
    <phoneticPr fontId="2" type="noConversion"/>
  </si>
  <si>
    <t>Pa + ΔH / 13.6</t>
    <phoneticPr fontId="2" type="noConversion"/>
  </si>
  <si>
    <t>273 + θm</t>
    <phoneticPr fontId="2" type="noConversion"/>
  </si>
  <si>
    <t xml:space="preserve"> C. 먼지농도</t>
    <phoneticPr fontId="2" type="noConversion"/>
  </si>
  <si>
    <t xml:space="preserve"> D. 배출가스유량</t>
    <phoneticPr fontId="2" type="noConversion"/>
  </si>
  <si>
    <t>21 - Os</t>
    <phoneticPr fontId="2" type="noConversion"/>
  </si>
  <si>
    <t>21 - Oa</t>
    <phoneticPr fontId="2" type="noConversion"/>
  </si>
  <si>
    <t>Pa +P's</t>
    <phoneticPr fontId="51" type="noConversion"/>
  </si>
  <si>
    <t>V :</t>
    <phoneticPr fontId="51" type="noConversion"/>
  </si>
  <si>
    <t>A :</t>
    <phoneticPr fontId="2" type="noConversion"/>
  </si>
  <si>
    <t>배출가스 평균온도(℃)</t>
    <phoneticPr fontId="51" type="noConversion"/>
  </si>
  <si>
    <t>배출가스 온도에 따른 포화수증기압(mmHg)</t>
    <phoneticPr fontId="51" type="noConversion"/>
  </si>
  <si>
    <t>Pυ :</t>
    <phoneticPr fontId="2" type="noConversion"/>
  </si>
  <si>
    <t>Pυ</t>
    <phoneticPr fontId="2" type="noConversion"/>
  </si>
  <si>
    <t>하단 일지 참조</t>
  </si>
  <si>
    <t>하단 일지 참조</t>
    <phoneticPr fontId="2" type="noConversion"/>
  </si>
  <si>
    <t>ES 01114.b 배출가스 중 굴뚝 배출 시료채취방법</t>
  </si>
  <si>
    <t>ES 01114.b 배출가스 중 굴뚝 배출 시료채취방법</t>
    <phoneticPr fontId="2" type="noConversion"/>
  </si>
  <si>
    <t>측정공 위치의대기압(mmHg)</t>
    <phoneticPr fontId="51" type="noConversion"/>
  </si>
  <si>
    <t>배출가스압력(mmHg : Pa+P's)</t>
    <phoneticPr fontId="51" type="noConversion"/>
  </si>
  <si>
    <t>건식가스미터에서읽은가스시료채취량(L)</t>
    <phoneticPr fontId="51" type="noConversion"/>
  </si>
  <si>
    <t>배출가스평균절대온도(K : 273+θs(℃))</t>
    <phoneticPr fontId="51" type="noConversion"/>
  </si>
  <si>
    <t>임핀저와실리카겔에채취된물의총량(mL)</t>
    <phoneticPr fontId="51" type="noConversion"/>
  </si>
  <si>
    <r>
      <t>건식가스미터에서읽은가스시료채취량(m</t>
    </r>
    <r>
      <rPr>
        <vertAlign val="superscript"/>
        <sz val="10"/>
        <rFont val="맑은 고딕"/>
        <family val="3"/>
        <charset val="129"/>
        <scheme val="minor"/>
      </rPr>
      <t>3</t>
    </r>
    <r>
      <rPr>
        <sz val="10"/>
        <rFont val="맑은 고딕"/>
        <family val="3"/>
        <charset val="129"/>
        <scheme val="minor"/>
      </rPr>
      <t>)</t>
    </r>
    <phoneticPr fontId="51" type="noConversion"/>
  </si>
  <si>
    <t>건식가스미터의평균절대온도(K : 273+θm(℃))</t>
    <phoneticPr fontId="51" type="noConversion"/>
  </si>
  <si>
    <t>배출가스 압력(mmHg : Pa+P's)</t>
    <phoneticPr fontId="51" type="noConversion"/>
  </si>
  <si>
    <t>배출가스평균유속(m/s)</t>
    <phoneticPr fontId="51" type="noConversion"/>
  </si>
  <si>
    <t>※ 의뢰사항과 관련이 없는 난의 경우 “-”으로 기재됩니다.</t>
    <phoneticPr fontId="51" type="noConversion"/>
  </si>
  <si>
    <t>※ 의뢰사항과 관련이 없는 란의 경우 “-”으로 기재됩니다.</t>
    <phoneticPr fontId="51" type="noConversion"/>
  </si>
  <si>
    <r>
      <t>※ 본 성적서는 KS Q ISO/IEC 17025 및 KOLAS 인정과 관련이 없음</t>
    </r>
    <r>
      <rPr>
        <sz val="10"/>
        <color rgb="FF000000"/>
        <rFont val="맑은 고딕"/>
        <family val="3"/>
        <charset val="129"/>
      </rPr>
      <t>.</t>
    </r>
    <phoneticPr fontId="51" type="noConversion"/>
  </si>
  <si>
    <t>부산광역시 강서구 대저중앙로394번가길 56(대저1동), 051-555-6511</t>
    <phoneticPr fontId="2" type="noConversion"/>
  </si>
  <si>
    <t>부산광역시 강서구 대저중앙로394번가길 56(대저1동), 051-555-6511</t>
    <phoneticPr fontId="51" type="noConversion"/>
  </si>
  <si>
    <t>시 험 일 지</t>
    <phoneticPr fontId="2" type="noConversion"/>
  </si>
  <si>
    <t>이나영</t>
    <phoneticPr fontId="2" type="noConversion"/>
  </si>
  <si>
    <t>부산광역시 강서구 대저중앙로394번가길 56(대저1동)</t>
    <phoneticPr fontId="2" type="noConversion"/>
  </si>
  <si>
    <t>강민수</t>
    <phoneticPr fontId="2" type="noConversion"/>
  </si>
  <si>
    <t>이영철</t>
    <phoneticPr fontId="2" type="noConversion"/>
  </si>
  <si>
    <t>강민석</t>
    <phoneticPr fontId="2" type="noConversion"/>
  </si>
  <si>
    <t>김태우</t>
    <phoneticPr fontId="2" type="noConversion"/>
  </si>
  <si>
    <t>김인현</t>
    <phoneticPr fontId="2" type="noConversion"/>
  </si>
  <si>
    <t>*분석책임자 -&gt; 기술책임자</t>
    <phoneticPr fontId="2" type="noConversion"/>
  </si>
  <si>
    <t xml:space="preserve"> 품질책임자 서명이 들어감</t>
    <phoneticPr fontId="2" type="noConversion"/>
  </si>
  <si>
    <t>*측정기록부의 기술책임자란에는 분석책임자와 동일인물이 서명할 수 없으므로</t>
    <phoneticPr fontId="2" type="noConversion"/>
  </si>
  <si>
    <t>대기기책</t>
    <phoneticPr fontId="2" type="noConversion"/>
  </si>
  <si>
    <t>기술인력</t>
    <phoneticPr fontId="2" type="noConversion"/>
  </si>
  <si>
    <t>*측정기록부의 기술책임자란에는 분석책임자와 동일인물이 서명할 수 없으므로 품질책임자 서명이 들어감</t>
    <phoneticPr fontId="2" type="noConversion"/>
  </si>
  <si>
    <t>정온</t>
    <phoneticPr fontId="2" type="noConversion"/>
  </si>
  <si>
    <t>비소화합물</t>
    <phoneticPr fontId="51" type="noConversion"/>
  </si>
  <si>
    <t>VOCs-T</t>
    <phoneticPr fontId="51" type="noConversion"/>
  </si>
  <si>
    <t>VOCs-A</t>
    <phoneticPr fontId="51" type="noConversion"/>
  </si>
  <si>
    <t>VOCs</t>
    <phoneticPr fontId="51" type="noConversion"/>
  </si>
  <si>
    <t>정온(실내)</t>
    <phoneticPr fontId="2" type="noConversion"/>
  </si>
  <si>
    <t>신 민 석</t>
    <phoneticPr fontId="2" type="noConversion"/>
  </si>
  <si>
    <t>기술인력들</t>
    <phoneticPr fontId="2" type="noConversion"/>
  </si>
  <si>
    <t>박 민 우</t>
    <phoneticPr fontId="2" type="noConversion"/>
  </si>
  <si>
    <t>맹 호 수</t>
    <phoneticPr fontId="2" type="noConversion"/>
  </si>
  <si>
    <t>이 동 협</t>
    <phoneticPr fontId="2" type="noConversion"/>
  </si>
  <si>
    <t>강 민 수</t>
    <phoneticPr fontId="2" type="noConversion"/>
  </si>
  <si>
    <t>김 인 현</t>
    <phoneticPr fontId="2" type="noConversion"/>
  </si>
  <si>
    <t>김 태 우</t>
    <phoneticPr fontId="2" type="noConversion"/>
  </si>
  <si>
    <t>측정전 흡수병1+2의 무게</t>
    <phoneticPr fontId="2" type="noConversion"/>
  </si>
  <si>
    <t>측정후 흡수병1+2의 무게</t>
    <phoneticPr fontId="2" type="noConversion"/>
  </si>
  <si>
    <t>대기시료 채취기록지</t>
    <phoneticPr fontId="51" type="noConversion"/>
  </si>
  <si>
    <t>접수번호 :</t>
    <phoneticPr fontId="2" type="noConversion"/>
  </si>
  <si>
    <t>업   체   명</t>
    <phoneticPr fontId="51" type="noConversion"/>
  </si>
  <si>
    <t>대기온도 :</t>
    <phoneticPr fontId="51" type="noConversion"/>
  </si>
  <si>
    <t>습   도 :</t>
    <phoneticPr fontId="2" type="noConversion"/>
  </si>
  <si>
    <t>배 출 시 설</t>
    <phoneticPr fontId="51" type="noConversion"/>
  </si>
  <si>
    <t>풍  향  :</t>
    <phoneticPr fontId="51" type="noConversion"/>
  </si>
  <si>
    <t>날   씨 :</t>
    <phoneticPr fontId="2" type="noConversion"/>
  </si>
  <si>
    <t>방지시설명</t>
    <phoneticPr fontId="51" type="noConversion"/>
  </si>
  <si>
    <t>풍  속 :</t>
    <phoneticPr fontId="51" type="noConversion"/>
  </si>
  <si>
    <t>피토관계수 :</t>
    <phoneticPr fontId="2" type="noConversion"/>
  </si>
  <si>
    <t>측   정   일</t>
    <phoneticPr fontId="51" type="noConversion"/>
  </si>
  <si>
    <t>측정공 위치의 기압 :</t>
    <phoneticPr fontId="51" type="noConversion"/>
  </si>
  <si>
    <t>연도 직경(m)</t>
    <phoneticPr fontId="51" type="noConversion"/>
  </si>
  <si>
    <t>연도 면적(㎡)</t>
    <phoneticPr fontId="2" type="noConversion"/>
  </si>
  <si>
    <r>
      <t>O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(%) : </t>
    </r>
    <phoneticPr fontId="2" type="noConversion"/>
  </si>
  <si>
    <r>
      <t>CO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(%) :</t>
    </r>
    <phoneticPr fontId="2" type="noConversion"/>
  </si>
  <si>
    <t>측정여지 번호</t>
    <phoneticPr fontId="2" type="noConversion"/>
  </si>
  <si>
    <t>누출검사
확인 (mmHg) :</t>
    <phoneticPr fontId="2" type="noConversion"/>
  </si>
  <si>
    <t>배출가스
정압 (mmHg) :</t>
    <phoneticPr fontId="51" type="noConversion"/>
  </si>
  <si>
    <t>기술책임자 확인</t>
    <phoneticPr fontId="2" type="noConversion"/>
  </si>
  <si>
    <t>( 서 명 )</t>
    <phoneticPr fontId="2" type="noConversion"/>
  </si>
  <si>
    <t>시료채취자 확인</t>
    <phoneticPr fontId="2" type="noConversion"/>
  </si>
  <si>
    <t>채취점
번호</t>
    <phoneticPr fontId="51" type="noConversion"/>
  </si>
  <si>
    <t>채취
시간
(분)</t>
    <phoneticPr fontId="51" type="noConversion"/>
  </si>
  <si>
    <t>진공압
(mmHg)</t>
    <phoneticPr fontId="51" type="noConversion"/>
  </si>
  <si>
    <r>
      <t>정압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</si>
  <si>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동압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</si>
  <si>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r>
      <t>오리피스
압차
(mmH</t>
    </r>
    <r>
      <rPr>
        <vertAlign val="sub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>O)</t>
    </r>
    <phoneticPr fontId="51" type="noConversion"/>
  </si>
  <si>
    <t>임핀저
출구 온도
(℃)</t>
    <phoneticPr fontId="51" type="noConversion"/>
  </si>
  <si>
    <t>흡인유량
(L/min)</t>
    <phoneticPr fontId="2" type="noConversion"/>
  </si>
  <si>
    <t>가스미터압 
(mmHg)</t>
    <phoneticPr fontId="2" type="noConversion"/>
  </si>
  <si>
    <t>무수염화칼슘(g)</t>
    <phoneticPr fontId="2" type="noConversion"/>
  </si>
  <si>
    <t>Tm(in)</t>
    <phoneticPr fontId="51" type="noConversion"/>
  </si>
  <si>
    <t>Tm(out)</t>
    <phoneticPr fontId="51" type="noConversion"/>
  </si>
  <si>
    <t>Tube No.</t>
    <phoneticPr fontId="2" type="noConversion"/>
  </si>
  <si>
    <t>ES 01301.1e</t>
    <phoneticPr fontId="2" type="noConversion"/>
  </si>
  <si>
    <t>ES 01501.1d</t>
    <phoneticPr fontId="2" type="noConversion"/>
  </si>
  <si>
    <t>ES 01401.3e</t>
    <phoneticPr fontId="2" type="noConversion"/>
  </si>
  <si>
    <t>ES 01311.1f</t>
    <phoneticPr fontId="2" type="noConversion"/>
  </si>
  <si>
    <t>ES 01312.1e</t>
    <phoneticPr fontId="2" type="noConversion"/>
  </si>
  <si>
    <t>해당없음</t>
    <phoneticPr fontId="2" type="noConversion"/>
  </si>
  <si>
    <t>.</t>
    <phoneticPr fontId="2" type="noConversion"/>
  </si>
  <si>
    <t xml:space="preserve">배 출 허 용 기 준 </t>
    <phoneticPr fontId="51" type="noConversion"/>
  </si>
  <si>
    <t>강원석</t>
    <phoneticPr fontId="2" type="noConversion"/>
  </si>
  <si>
    <t>시설 종류</t>
    <phoneticPr fontId="51" type="noConversion"/>
  </si>
  <si>
    <t>굴뚝 명칭</t>
    <phoneticPr fontId="2" type="noConversion"/>
  </si>
  <si>
    <t>날씨</t>
    <phoneticPr fontId="2" type="noConversion"/>
  </si>
  <si>
    <t>배출가스유량(산소보정 전)</t>
    <phoneticPr fontId="2" type="noConversion"/>
  </si>
  <si>
    <t>배출가스유량(산소보정 후)</t>
    <phoneticPr fontId="2" type="noConversion"/>
  </si>
  <si>
    <t>배출가스 유속</t>
    <phoneticPr fontId="2" type="noConversion"/>
  </si>
  <si>
    <t>기타</t>
    <phoneticPr fontId="2" type="noConversion"/>
  </si>
  <si>
    <t>대 상 물 질</t>
    <phoneticPr fontId="2" type="noConversion"/>
  </si>
  <si>
    <t>측정시간</t>
    <phoneticPr fontId="51" type="noConversion"/>
  </si>
  <si>
    <t>분석기술인</t>
    <phoneticPr fontId="51" type="noConversion"/>
  </si>
  <si>
    <t>책임기술인</t>
    <phoneticPr fontId="51" type="noConversion"/>
  </si>
  <si>
    <t xml:space="preserve">    (서명 또는 인)</t>
    <phoneticPr fontId="2" type="noConversion"/>
  </si>
  <si>
    <t>배 출 허 용 기 준 에</t>
    <phoneticPr fontId="51" type="noConversion"/>
  </si>
  <si>
    <t>채취시간</t>
    <phoneticPr fontId="2" type="noConversion"/>
  </si>
  <si>
    <t>시료채취자</t>
    <phoneticPr fontId="2" type="noConversion"/>
  </si>
  <si>
    <t>방   지   시   설</t>
    <phoneticPr fontId="51" type="noConversion"/>
  </si>
  <si>
    <t>실측산소농도</t>
    <phoneticPr fontId="2" type="noConversion"/>
  </si>
  <si>
    <t>풍향 [풍]</t>
    <phoneticPr fontId="2" type="noConversion"/>
  </si>
  <si>
    <t>기압 [mmHg]</t>
    <phoneticPr fontId="2" type="noConversion"/>
  </si>
  <si>
    <t>습도 [%]</t>
    <phoneticPr fontId="2" type="noConversion"/>
  </si>
  <si>
    <r>
      <t>기온 [</t>
    </r>
    <r>
      <rPr>
        <sz val="9"/>
        <rFont val="맑은 고딕"/>
        <family val="3"/>
        <charset val="129"/>
      </rPr>
      <t>℃</t>
    </r>
    <r>
      <rPr>
        <sz val="9"/>
        <rFont val="맑은 고딕"/>
        <family val="3"/>
        <charset val="129"/>
        <scheme val="minor"/>
      </rPr>
      <t>]</t>
    </r>
    <phoneticPr fontId="2" type="noConversion"/>
  </si>
  <si>
    <t>굴뚝 종별 [종]</t>
    <phoneticPr fontId="2" type="noConversion"/>
  </si>
  <si>
    <t>안지름(측정공) [m]</t>
    <phoneticPr fontId="2" type="noConversion"/>
  </si>
  <si>
    <t>높이 [m]</t>
    <phoneticPr fontId="2" type="noConversion"/>
  </si>
  <si>
    <t>굴         뚝</t>
    <phoneticPr fontId="51" type="noConversion"/>
  </si>
  <si>
    <t>Sm³/h,</t>
    <phoneticPr fontId="2" type="noConversion"/>
  </si>
  <si>
    <t>Sm³/min,</t>
    <phoneticPr fontId="2" type="noConversion"/>
  </si>
  <si>
    <t xml:space="preserve">굴뚝높이:             </t>
    <phoneticPr fontId="2" type="noConversion"/>
  </si>
  <si>
    <t>측정시간 (</t>
    <phoneticPr fontId="2" type="noConversion"/>
  </si>
  <si>
    <t>채 취 시 간</t>
    <phoneticPr fontId="51" type="noConversion"/>
  </si>
  <si>
    <t>총 채취시간</t>
    <phoneticPr fontId="2" type="noConversion"/>
  </si>
  <si>
    <t>측정시간 여기에 기입</t>
    <phoneticPr fontId="2" type="noConversion"/>
  </si>
  <si>
    <t>적합</t>
  </si>
  <si>
    <t>옵티마</t>
    <phoneticPr fontId="2" type="noConversion"/>
  </si>
  <si>
    <t>T</t>
    <phoneticPr fontId="2" type="noConversion"/>
  </si>
  <si>
    <t>테들러백</t>
    <phoneticPr fontId="2" type="noConversion"/>
  </si>
  <si>
    <t>DNPH</t>
    <phoneticPr fontId="2" type="noConversion"/>
  </si>
  <si>
    <t>가스분석기 측정시간 (</t>
    <phoneticPr fontId="2" type="noConversion"/>
  </si>
  <si>
    <t>배출시설 종류</t>
    <phoneticPr fontId="51" type="noConversion"/>
  </si>
  <si>
    <t>방지시설 종류</t>
    <phoneticPr fontId="51" type="noConversion"/>
  </si>
  <si>
    <t>⑥측정분석결과</t>
  </si>
  <si>
    <t>부적합</t>
  </si>
  <si>
    <t>정 종 원</t>
    <phoneticPr fontId="2" type="noConversion"/>
  </si>
  <si>
    <t>김 흥 록</t>
    <phoneticPr fontId="2" type="noConversion"/>
  </si>
  <si>
    <t>책임기술인과 같음</t>
  </si>
  <si>
    <t>책임기술인과 같음</t>
    <phoneticPr fontId="2" type="noConversion"/>
  </si>
  <si>
    <t>*분석기술인 -&gt; 기술책임자</t>
    <phoneticPr fontId="2" type="noConversion"/>
  </si>
  <si>
    <t>THC 측정시간</t>
    <phoneticPr fontId="2" type="noConversion"/>
  </si>
  <si>
    <t>매 연 ( 1분 )</t>
    <phoneticPr fontId="2" type="noConversion"/>
  </si>
  <si>
    <t>강 원 석</t>
    <phoneticPr fontId="2" type="noConversion"/>
  </si>
  <si>
    <t>가스분석기 측정시간</t>
    <phoneticPr fontId="2" type="noConversion"/>
  </si>
  <si>
    <t>소수점표기값</t>
    <phoneticPr fontId="2" type="noConversion"/>
  </si>
  <si>
    <t>질소산화물</t>
    <phoneticPr fontId="2" type="noConversion"/>
  </si>
  <si>
    <t>황산화물</t>
    <phoneticPr fontId="2" type="noConversion"/>
  </si>
  <si>
    <t>일산화탄소</t>
    <phoneticPr fontId="2" type="noConversion"/>
  </si>
  <si>
    <t>시안화수소</t>
    <phoneticPr fontId="51" type="noConversion"/>
  </si>
  <si>
    <t>베릴륨 및 그 화합물</t>
    <phoneticPr fontId="51" type="noConversion"/>
  </si>
  <si>
    <t>디클로로메탄</t>
    <phoneticPr fontId="51" type="noConversion"/>
  </si>
  <si>
    <t>아크릴로니트릴</t>
    <phoneticPr fontId="51" type="noConversion"/>
  </si>
  <si>
    <t>스틸렌</t>
    <phoneticPr fontId="51" type="noConversion"/>
  </si>
  <si>
    <t>포름알데히드</t>
    <phoneticPr fontId="51" type="noConversion"/>
  </si>
  <si>
    <t>아세트알데히드</t>
    <phoneticPr fontId="51" type="noConversion"/>
  </si>
  <si>
    <t>현대차 요구 항목명</t>
    <phoneticPr fontId="2" type="noConversion"/>
  </si>
  <si>
    <t>성적서 항목명</t>
    <phoneticPr fontId="2" type="noConversion"/>
  </si>
  <si>
    <t>현대차 항목명</t>
    <phoneticPr fontId="2" type="noConversion"/>
  </si>
  <si>
    <t>수식열</t>
    <phoneticPr fontId="2" type="noConversion"/>
  </si>
  <si>
    <t>탄화수소(THC)</t>
    <phoneticPr fontId="2" type="noConversion"/>
  </si>
  <si>
    <t>카드뮴화합물</t>
    <phoneticPr fontId="51" type="noConversion"/>
  </si>
  <si>
    <t>납화합물</t>
    <phoneticPr fontId="51" type="noConversion"/>
  </si>
  <si>
    <t>크롬화합물</t>
    <phoneticPr fontId="51" type="noConversion"/>
  </si>
  <si>
    <t>수은화합물</t>
    <phoneticPr fontId="51" type="noConversion"/>
  </si>
  <si>
    <t>불소화합물</t>
    <phoneticPr fontId="51" type="noConversion"/>
  </si>
  <si>
    <t>니켈화합물</t>
    <phoneticPr fontId="51" type="noConversion"/>
  </si>
  <si>
    <t>염화비닐</t>
    <phoneticPr fontId="51" type="noConversion"/>
  </si>
  <si>
    <t>클로로포름</t>
    <phoneticPr fontId="51" type="noConversion"/>
  </si>
  <si>
    <t>1,3-부타디엔</t>
    <phoneticPr fontId="51" type="noConversion"/>
  </si>
  <si>
    <t>브롬화합물</t>
    <phoneticPr fontId="51" type="noConversion"/>
  </si>
  <si>
    <t>아연화합물</t>
    <phoneticPr fontId="51" type="noConversion"/>
  </si>
  <si>
    <t>구리화합물</t>
    <phoneticPr fontId="51" type="noConversion"/>
  </si>
  <si>
    <t>1,2-디클로로에탄</t>
    <phoneticPr fontId="51" type="noConversion"/>
  </si>
  <si>
    <t>트리클로로에틸렌</t>
    <phoneticPr fontId="51" type="noConversion"/>
  </si>
  <si>
    <t>-이하여백-</t>
    <phoneticPr fontId="2" type="noConversion"/>
  </si>
  <si>
    <t>송정현</t>
    <phoneticPr fontId="2" type="noConversion"/>
  </si>
  <si>
    <t>송 정 현</t>
    <phoneticPr fontId="2" type="noConversion"/>
  </si>
  <si>
    <t>배출시설명</t>
  </si>
  <si>
    <t>연료사용량 (시간당)</t>
    <phoneticPr fontId="2" type="noConversion"/>
  </si>
  <si>
    <t>제품생산량</t>
    <phoneticPr fontId="2" type="noConversion"/>
  </si>
  <si>
    <t>제품생산량 (시간당)</t>
    <phoneticPr fontId="2" type="noConversion"/>
  </si>
  <si>
    <t>원료투입량</t>
    <phoneticPr fontId="2" type="noConversion"/>
  </si>
  <si>
    <t>원료투입량 (시간당)</t>
    <phoneticPr fontId="2" type="noConversion"/>
  </si>
  <si>
    <t>원료 종류</t>
    <phoneticPr fontId="2" type="noConversion"/>
  </si>
  <si>
    <t>풍속 [m/s]</t>
    <phoneticPr fontId="2" type="noConversion"/>
  </si>
  <si>
    <t>PM-10</t>
    <phoneticPr fontId="2" type="noConversion"/>
  </si>
  <si>
    <t>PM-2.5</t>
    <phoneticPr fontId="2" type="noConversion"/>
  </si>
  <si>
    <t xml:space="preserve"> </t>
    <phoneticPr fontId="2" type="noConversion"/>
  </si>
  <si>
    <t>수은1팀</t>
    <phoneticPr fontId="2" type="noConversion"/>
  </si>
  <si>
    <t>수은2팀</t>
    <phoneticPr fontId="2" type="noConversion"/>
  </si>
  <si>
    <t>수은3팀</t>
    <phoneticPr fontId="2" type="noConversion"/>
  </si>
  <si>
    <t>수은4팀</t>
    <phoneticPr fontId="2" type="noConversion"/>
  </si>
  <si>
    <t>수은_2</t>
    <phoneticPr fontId="2" type="noConversion"/>
  </si>
  <si>
    <t>수은_1</t>
    <phoneticPr fontId="2" type="noConversion"/>
  </si>
  <si>
    <t>미세먼지(PM-10)</t>
    <phoneticPr fontId="2" type="noConversion"/>
  </si>
  <si>
    <t>미세먼지(PM-2.5)</t>
    <phoneticPr fontId="2" type="noConversion"/>
  </si>
  <si>
    <t>반자동식 측정법</t>
    <phoneticPr fontId="2" type="noConversion"/>
  </si>
  <si>
    <t>염소</t>
    <phoneticPr fontId="2" type="noConversion"/>
  </si>
  <si>
    <t>아닐린</t>
    <phoneticPr fontId="2" type="noConversion"/>
  </si>
  <si>
    <t>다환방향족탄화수소류</t>
    <phoneticPr fontId="2" type="noConversion"/>
  </si>
  <si>
    <t>벤지딘</t>
    <phoneticPr fontId="2" type="noConversion"/>
  </si>
  <si>
    <t>히드라진</t>
    <phoneticPr fontId="2" type="noConversion"/>
  </si>
  <si>
    <t>벤지딘</t>
    <phoneticPr fontId="51" type="noConversion"/>
  </si>
  <si>
    <t>히드라진</t>
    <phoneticPr fontId="51" type="noConversion"/>
  </si>
  <si>
    <t>ES 01518.2a</t>
    <phoneticPr fontId="2" type="noConversion"/>
  </si>
  <si>
    <t>ES 01319.1d</t>
    <phoneticPr fontId="2" type="noConversion"/>
  </si>
  <si>
    <t>ES 01306.2a</t>
    <phoneticPr fontId="2" type="noConversion"/>
  </si>
  <si>
    <t>ES 01520.b</t>
    <phoneticPr fontId="2" type="noConversion"/>
  </si>
  <si>
    <t>ES 01505.1b</t>
    <phoneticPr fontId="2" type="noConversion"/>
  </si>
  <si>
    <t>ng/S㎥</t>
    <phoneticPr fontId="2" type="noConversion"/>
  </si>
  <si>
    <t>ES 01317.1b</t>
    <phoneticPr fontId="2" type="noConversion"/>
  </si>
  <si>
    <t>액체크로마토그래피</t>
    <phoneticPr fontId="2" type="noConversion"/>
  </si>
  <si>
    <t>PAHs</t>
    <phoneticPr fontId="2" type="noConversion"/>
  </si>
  <si>
    <t>수평유무(0,1)</t>
    <phoneticPr fontId="2" type="noConversion"/>
  </si>
  <si>
    <t>ES 01408.1e</t>
    <phoneticPr fontId="51" type="noConversion"/>
  </si>
  <si>
    <t>합계</t>
    <phoneticPr fontId="2" type="noConversion"/>
  </si>
  <si>
    <t>먼지 합</t>
    <phoneticPr fontId="2" type="noConversion"/>
  </si>
  <si>
    <t>중금속 합</t>
    <phoneticPr fontId="2" type="noConversion"/>
  </si>
  <si>
    <t>수은 합</t>
    <phoneticPr fontId="2" type="noConversion"/>
  </si>
  <si>
    <t>산소 합</t>
    <phoneticPr fontId="2" type="noConversion"/>
  </si>
  <si>
    <t>THC 합</t>
    <phoneticPr fontId="2" type="noConversion"/>
  </si>
  <si>
    <t>입자상 흡입유량</t>
    <phoneticPr fontId="2" type="noConversion"/>
  </si>
  <si>
    <t>Aa07_</t>
  </si>
  <si>
    <t>업종</t>
  </si>
  <si>
    <t>여 형 석</t>
  </si>
  <si>
    <t>시료  채취</t>
  </si>
  <si>
    <t>윤 명 원</t>
  </si>
  <si>
    <t>입  회  자</t>
  </si>
  <si>
    <t>2010(Stack_2151)</t>
  </si>
  <si>
    <t>주생산 품목</t>
  </si>
  <si>
    <t>자동차</t>
  </si>
  <si>
    <t>종</t>
  </si>
  <si>
    <t>측정공 높이</t>
  </si>
  <si>
    <t>방지시설용량</t>
  </si>
  <si>
    <t>연료 및 사용량</t>
  </si>
  <si>
    <t>Kg/Hr</t>
  </si>
  <si>
    <t xml:space="preserve">  건조시설 (전착)</t>
  </si>
  <si>
    <t>LNG</t>
    <phoneticPr fontId="2" type="noConversion"/>
  </si>
  <si>
    <t>132.0 N㎥/시</t>
    <phoneticPr fontId="2" type="noConversion"/>
  </si>
  <si>
    <t>kg/일</t>
    <phoneticPr fontId="2" type="noConversion"/>
  </si>
  <si>
    <t>전착 도료 및 신너</t>
    <phoneticPr fontId="2" type="noConversion"/>
  </si>
  <si>
    <t xml:space="preserve">  건조시설 (상도)</t>
  </si>
  <si>
    <t>174.0 N㎥/시</t>
    <phoneticPr fontId="2" type="noConversion"/>
  </si>
  <si>
    <t>도료 및 신너</t>
    <phoneticPr fontId="2" type="noConversion"/>
  </si>
  <si>
    <t>전체</t>
  </si>
  <si>
    <t>이 상 직</t>
    <phoneticPr fontId="2" type="noConversion"/>
  </si>
  <si>
    <t>2-30</t>
    <phoneticPr fontId="2" type="noConversion"/>
  </si>
  <si>
    <t>2-31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</si>
</sst>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2" formatCode="_-&quot;₩&quot;* #,##0_-;\-&quot;₩&quot;* #,##0_-;_-&quot;₩&quot;* &quot;-&quot;_-;_-@_-"/>
    <numFmt numFmtId="41" formatCode="_-* #,##0_-;\-* #,##0_-;_-* &quot;-&quot;_-;_-@_-"/>
    <numFmt numFmtId="176" formatCode="0.0000_ "/>
    <numFmt numFmtId="177" formatCode="0.00_ "/>
    <numFmt numFmtId="178" formatCode="0_);[Red]\(0\)"/>
    <numFmt numFmtId="179" formatCode="0.0_);[Red]\(0.0\)"/>
    <numFmt numFmtId="180" formatCode="0.00_);[Red]\(0.00\)"/>
    <numFmt numFmtId="181" formatCode="0.000_ "/>
    <numFmt numFmtId="182" formatCode="0.000_);[Red]\(0.000\)"/>
    <numFmt numFmtId="183" formatCode="0.0_ "/>
    <numFmt numFmtId="184" formatCode="0_ "/>
    <numFmt numFmtId="185" formatCode="0.0000_);[Red]\(0.0000\)"/>
    <numFmt numFmtId="186" formatCode="yyyy&quot;년&quot;\ m&quot;월&quot;\ d&quot;일&quot;;@"/>
    <numFmt numFmtId="187" formatCode="0.###&quot;R&quot;"/>
    <numFmt numFmtId="188" formatCode="0.000&quot;R&quot;"/>
    <numFmt numFmtId="189" formatCode="0.000"/>
    <numFmt numFmtId="190" formatCode="0.0000"/>
    <numFmt numFmtId="191" formatCode="0.0"/>
    <numFmt numFmtId="192" formatCode="00"/>
    <numFmt numFmtId="193" formatCode="0.00000"/>
    <numFmt numFmtId="194" formatCode="0.0;_栅"/>
    <numFmt numFmtId="195" formatCode="0.00000_ "/>
    <numFmt numFmtId="196" formatCode="mm&quot;월&quot;\ dd&quot;일&quot;"/>
    <numFmt numFmtId="197" formatCode="yyyy/mm/dd;@"/>
    <numFmt numFmtId="198" formatCode="0.000000"/>
    <numFmt numFmtId="199" formatCode="0.00&quot; %&quot;"/>
    <numFmt numFmtId="200" formatCode="aaaa"/>
    <numFmt numFmtId="201" formatCode="m&quot;월&quot;\ d&quot;일&quot;;@"/>
    <numFmt numFmtId="202" formatCode="\+0"/>
    <numFmt numFmtId="203" formatCode="000\-00"/>
    <numFmt numFmtId="204" formatCode="\ \ \ \ \ \ \ \ \ \ \ \ \ \ \ \ \ 0.0_);[Red]\(0.0\)"/>
    <numFmt numFmtId="205" formatCode="_-* #,##0.000_-;\-* #,##0.000_-;_-* &quot;-&quot;_-;_-@_-"/>
    <numFmt numFmtId="206" formatCode="yyyy\.mm\.dd"/>
  </numFmts>
  <fonts count="188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vertAlign val="superscript"/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vertAlign val="subscript"/>
      <sz val="10"/>
      <color theme="1"/>
      <name val="맑은 고딕"/>
      <family val="3"/>
      <charset val="129"/>
      <scheme val="minor"/>
    </font>
    <font>
      <sz val="12"/>
      <color theme="1"/>
      <name val="Bernard MT Condensed"/>
      <family val="1"/>
    </font>
    <font>
      <sz val="11"/>
      <color theme="1"/>
      <name val="Bernard MT Condensed"/>
      <family val="1"/>
    </font>
    <font>
      <sz val="10"/>
      <color rgb="FFFF0000"/>
      <name val="맑은 고딕"/>
      <family val="2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HY견명조"/>
      <family val="1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HY견명조"/>
      <family val="1"/>
      <charset val="129"/>
    </font>
    <font>
      <sz val="11"/>
      <color theme="1"/>
      <name val="HY견명조"/>
      <family val="1"/>
      <charset val="129"/>
    </font>
    <font>
      <sz val="10"/>
      <color theme="1"/>
      <name val="맑은 고딕"/>
      <family val="2"/>
      <charset val="129"/>
    </font>
    <font>
      <vertAlign val="subscript"/>
      <sz val="11"/>
      <color theme="1"/>
      <name val="HY견명조"/>
      <family val="1"/>
      <charset val="129"/>
    </font>
    <font>
      <b/>
      <vertAlign val="subscript"/>
      <sz val="10"/>
      <color theme="1"/>
      <name val="HY견명조"/>
      <family val="1"/>
      <charset val="129"/>
    </font>
    <font>
      <b/>
      <sz val="11"/>
      <color theme="1"/>
      <name val="HY견명조"/>
      <family val="1"/>
      <charset val="129"/>
    </font>
    <font>
      <b/>
      <sz val="12"/>
      <color theme="1"/>
      <name val="HY견명조"/>
      <family val="1"/>
      <charset val="129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vertAlign val="superscript"/>
      <sz val="10"/>
      <color theme="1"/>
      <name val="맑은 고딕"/>
      <family val="3"/>
      <charset val="129"/>
    </font>
    <font>
      <b/>
      <sz val="6"/>
      <color theme="1"/>
      <name val="맑은 고딕"/>
      <family val="3"/>
      <charset val="129"/>
      <scheme val="minor"/>
    </font>
    <font>
      <b/>
      <sz val="14"/>
      <name val="HY견명조"/>
      <family val="1"/>
      <charset val="129"/>
    </font>
    <font>
      <b/>
      <sz val="11"/>
      <color theme="4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3" tint="0.39997558519241921"/>
      <name val="맑은 고딕"/>
      <family val="3"/>
      <charset val="129"/>
      <scheme val="minor"/>
    </font>
    <font>
      <b/>
      <vertAlign val="superscript"/>
      <sz val="11"/>
      <color theme="3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b/>
      <vertAlign val="subscript"/>
      <sz val="10"/>
      <color theme="1"/>
      <name val="맑은 고딕"/>
      <family val="3"/>
      <charset val="129"/>
    </font>
    <font>
      <b/>
      <vertAlign val="subscript"/>
      <sz val="10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ajor"/>
    </font>
    <font>
      <b/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7"/>
      <name val="굴림"/>
      <family val="3"/>
      <charset val="129"/>
    </font>
    <font>
      <sz val="11"/>
      <name val="굴림"/>
      <family val="3"/>
      <charset val="129"/>
    </font>
    <font>
      <sz val="11"/>
      <color theme="1"/>
      <name val="굴림"/>
      <family val="3"/>
      <charset val="129"/>
    </font>
    <font>
      <sz val="9"/>
      <name val="굴림"/>
      <family val="3"/>
      <charset val="129"/>
    </font>
    <font>
      <b/>
      <sz val="10"/>
      <name val="굴림"/>
      <family val="3"/>
      <charset val="129"/>
    </font>
    <font>
      <vertAlign val="subscript"/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굴림"/>
      <family val="3"/>
      <charset val="129"/>
    </font>
    <font>
      <sz val="18"/>
      <name val="굴림"/>
      <family val="3"/>
      <charset val="129"/>
    </font>
    <font>
      <b/>
      <sz val="9"/>
      <name val="굴림"/>
      <family val="3"/>
      <charset val="129"/>
    </font>
    <font>
      <b/>
      <u/>
      <sz val="14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u/>
      <sz val="11"/>
      <color theme="1"/>
      <name val="굴림"/>
      <family val="3"/>
      <charset val="129"/>
    </font>
    <font>
      <b/>
      <sz val="10"/>
      <color theme="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theme="0" tint="-4.9989318521683403E-2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vertAlign val="superscript"/>
      <sz val="10"/>
      <color theme="1"/>
      <name val="굴림"/>
      <family val="3"/>
      <charset val="129"/>
    </font>
    <font>
      <b/>
      <vertAlign val="superscript"/>
      <sz val="10"/>
      <color rgb="FFFF0000"/>
      <name val="굴림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8"/>
      <name val="돋움"/>
      <family val="3"/>
      <charset val="129"/>
    </font>
    <font>
      <b/>
      <sz val="6"/>
      <name val="돋움"/>
      <family val="3"/>
      <charset val="129"/>
    </font>
    <font>
      <sz val="11"/>
      <name val="Book Antiqua"/>
      <family val="1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i/>
      <sz val="10"/>
      <name val="Arial"/>
      <family val="2"/>
    </font>
    <font>
      <sz val="9"/>
      <color theme="1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8"/>
      <color theme="1"/>
      <name val="굴림"/>
      <family val="3"/>
      <charset val="129"/>
    </font>
    <font>
      <sz val="1"/>
      <color theme="1"/>
      <name val="돋움"/>
      <family val="3"/>
      <charset val="129"/>
    </font>
    <font>
      <vertAlign val="subscript"/>
      <sz val="10"/>
      <color theme="1"/>
      <name val="굴림"/>
      <family val="3"/>
      <charset val="129"/>
    </font>
    <font>
      <b/>
      <sz val="20"/>
      <color theme="1"/>
      <name val="굴림"/>
      <family val="3"/>
      <charset val="129"/>
    </font>
    <font>
      <i/>
      <sz val="10"/>
      <color theme="1"/>
      <name val="굴림"/>
      <family val="3"/>
      <charset val="129"/>
    </font>
    <font>
      <sz val="10"/>
      <name val="휴먼모음T"/>
      <family val="1"/>
      <charset val="129"/>
    </font>
    <font>
      <sz val="10"/>
      <color theme="1"/>
      <name val="휴먼모음T"/>
      <family val="1"/>
      <charset val="129"/>
    </font>
    <font>
      <sz val="10"/>
      <color theme="2" tint="-0.249977111117893"/>
      <name val="굴림"/>
      <family val="3"/>
      <charset val="129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</font>
    <font>
      <strike/>
      <sz val="1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sz val="11"/>
      <color theme="4"/>
      <name val="굴림"/>
      <family val="3"/>
      <charset val="129"/>
    </font>
    <font>
      <sz val="11"/>
      <color theme="9" tint="-0.499984740745262"/>
      <name val="맑은 고딕"/>
      <family val="2"/>
      <charset val="129"/>
      <scheme val="minor"/>
    </font>
    <font>
      <sz val="11"/>
      <color theme="9" tint="-0.499984740745262"/>
      <name val="굴림"/>
      <family val="3"/>
      <charset val="129"/>
    </font>
    <font>
      <sz val="11"/>
      <color theme="9" tint="-0.499984740745262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26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6"/>
      <color theme="1"/>
      <name val="돋움"/>
      <family val="3"/>
      <charset val="129"/>
    </font>
    <font>
      <sz val="6"/>
      <color theme="1"/>
      <name val="맑은 고딕"/>
      <family val="3"/>
      <charset val="129"/>
      <scheme val="major"/>
    </font>
    <font>
      <sz val="6"/>
      <color indexed="8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6"/>
      <name val="굴림"/>
      <family val="3"/>
      <charset val="129"/>
    </font>
    <font>
      <sz val="10"/>
      <color theme="1"/>
      <name val="바탕"/>
      <family val="1"/>
      <charset val="129"/>
    </font>
    <font>
      <vertAlign val="superscript"/>
      <sz val="11"/>
      <name val="맑은 고딕"/>
      <family val="3"/>
      <charset val="129"/>
      <scheme val="major"/>
    </font>
    <font>
      <vertAlign val="subscript"/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vertAlign val="subscript"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  <scheme val="minor"/>
    </font>
    <font>
      <vertAlign val="subscript"/>
      <sz val="10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3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7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b/>
      <sz val="12"/>
      <color theme="1" tint="0.499984740745262"/>
      <name val="맑은 고딕"/>
      <family val="3"/>
      <charset val="129"/>
      <scheme val="major"/>
    </font>
    <font>
      <b/>
      <sz val="24"/>
      <name val="맑은 고딕"/>
      <family val="3"/>
      <charset val="129"/>
    </font>
    <font>
      <sz val="10"/>
      <color theme="2" tint="-0.249977111117893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7"/>
      <name val="맑은 고딕"/>
      <family val="3"/>
      <charset val="129"/>
      <scheme val="minor"/>
    </font>
    <font>
      <sz val="10"/>
      <color theme="1" tint="0.49998474074526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color theme="1"/>
      <name val="돋움"/>
      <family val="3"/>
      <charset val="129"/>
    </font>
    <font>
      <sz val="10"/>
      <color rgb="FFFF0000"/>
      <name val="굴림"/>
      <family val="3"/>
      <charset val="129"/>
    </font>
    <font>
      <b/>
      <sz val="8"/>
      <color theme="1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7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indexed="64"/>
      </right>
      <top/>
      <bottom/>
      <diagonal/>
    </border>
    <border diagonalDown="1">
      <left/>
      <right/>
      <top/>
      <bottom style="hair">
        <color indexed="64"/>
      </bottom>
      <diagonal style="hair">
        <color indexed="64"/>
      </diagonal>
    </border>
    <border diagonalUp="1">
      <left/>
      <right/>
      <top/>
      <bottom style="hair">
        <color indexed="64"/>
      </bottom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Down="1">
      <left/>
      <right/>
      <top/>
      <bottom/>
      <diagonal style="hair">
        <color auto="1"/>
      </diagonal>
    </border>
    <border diagonalDown="1">
      <left/>
      <right/>
      <top/>
      <bottom/>
      <diagonal style="dotted">
        <color auto="1"/>
      </diagonal>
    </border>
    <border diagonalUp="1">
      <left/>
      <right/>
      <top/>
      <bottom/>
      <diagonal style="dotted">
        <color indexed="64"/>
      </diagonal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dashDot">
        <color indexed="64"/>
      </left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Dot">
        <color indexed="64"/>
      </right>
      <top style="thin">
        <color indexed="64"/>
      </top>
      <bottom style="dashDot">
        <color indexed="64"/>
      </bottom>
      <diagonal/>
    </border>
    <border>
      <left style="thin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thin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medium">
        <color indexed="64"/>
      </right>
      <top style="dashDot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5">
    <xf numFmtId="0" fontId="0" fillId="0" borderId="0">
      <alignment vertical="center"/>
    </xf>
    <xf numFmtId="0" fontId="50" fillId="0" borderId="0"/>
    <xf numFmtId="42" fontId="50" fillId="0" borderId="0" applyFont="0" applyFill="0" applyBorder="0" applyAlignment="0" applyProtection="0"/>
    <xf numFmtId="0" fontId="50" fillId="0" borderId="0">
      <alignment vertical="center"/>
    </xf>
    <xf numFmtId="0" fontId="81" fillId="0" borderId="0"/>
    <xf numFmtId="0" fontId="50" fillId="0" borderId="0"/>
    <xf numFmtId="42" fontId="50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171" fillId="12" borderId="0" applyNumberFormat="0" applyBorder="0" applyAlignment="0" applyProtection="0">
      <alignment vertical="center"/>
    </xf>
    <xf numFmtId="0" fontId="171" fillId="26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29" borderId="0" applyNumberFormat="0" applyBorder="0" applyAlignment="0" applyProtection="0">
      <alignment vertical="center"/>
    </xf>
    <xf numFmtId="0" fontId="171" fillId="30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1" fillId="33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4" borderId="0" applyNumberFormat="0" applyBorder="0" applyAlignment="0" applyProtection="0">
      <alignment vertical="center"/>
    </xf>
    <xf numFmtId="0" fontId="172" fillId="35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2" fillId="33" borderId="0" applyNumberFormat="0" applyBorder="0" applyAlignment="0" applyProtection="0">
      <alignment vertical="center"/>
    </xf>
    <xf numFmtId="0" fontId="172" fillId="36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38" borderId="0" applyNumberFormat="0" applyBorder="0" applyAlignment="0" applyProtection="0">
      <alignment vertical="center"/>
    </xf>
    <xf numFmtId="0" fontId="172" fillId="39" borderId="0" applyNumberFormat="0" applyBorder="0" applyAlignment="0" applyProtection="0">
      <alignment vertical="center"/>
    </xf>
    <xf numFmtId="0" fontId="172" fillId="40" borderId="0" applyNumberFormat="0" applyBorder="0" applyAlignment="0" applyProtection="0">
      <alignment vertical="center"/>
    </xf>
    <xf numFmtId="0" fontId="172" fillId="41" borderId="0" applyNumberFormat="0" applyBorder="0" applyAlignment="0" applyProtection="0">
      <alignment vertical="center"/>
    </xf>
    <xf numFmtId="0" fontId="172" fillId="36" borderId="0" applyNumberFormat="0" applyBorder="0" applyAlignment="0" applyProtection="0">
      <alignment vertical="center"/>
    </xf>
    <xf numFmtId="0" fontId="172" fillId="37" borderId="0" applyNumberFormat="0" applyBorder="0" applyAlignment="0" applyProtection="0">
      <alignment vertical="center"/>
    </xf>
    <xf numFmtId="0" fontId="172" fillId="42" borderId="0" applyNumberFormat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center"/>
    </xf>
    <xf numFmtId="0" fontId="174" fillId="43" borderId="162" applyNumberFormat="0" applyAlignment="0" applyProtection="0">
      <alignment vertical="center"/>
    </xf>
    <xf numFmtId="0" fontId="175" fillId="26" borderId="0" applyNumberFormat="0" applyBorder="0" applyAlignment="0" applyProtection="0">
      <alignment vertical="center"/>
    </xf>
    <xf numFmtId="0" fontId="171" fillId="44" borderId="163" applyNumberFormat="0" applyFont="0" applyAlignment="0" applyProtection="0">
      <alignment vertical="center"/>
    </xf>
    <xf numFmtId="0" fontId="176" fillId="45" borderId="0" applyNumberFormat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46" borderId="164" applyNumberFormat="0" applyAlignment="0" applyProtection="0">
      <alignment vertical="center"/>
    </xf>
    <xf numFmtId="0" fontId="179" fillId="0" borderId="165" applyNumberFormat="0" applyFill="0" applyAlignment="0" applyProtection="0">
      <alignment vertical="center"/>
    </xf>
    <xf numFmtId="0" fontId="180" fillId="0" borderId="166" applyNumberFormat="0" applyFill="0" applyAlignment="0" applyProtection="0">
      <alignment vertical="center"/>
    </xf>
    <xf numFmtId="0" fontId="181" fillId="30" borderId="162" applyNumberFormat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3" fillId="0" borderId="167" applyNumberFormat="0" applyFill="0" applyAlignment="0" applyProtection="0">
      <alignment vertical="center"/>
    </xf>
    <xf numFmtId="0" fontId="184" fillId="0" borderId="168" applyNumberFormat="0" applyFill="0" applyAlignment="0" applyProtection="0">
      <alignment vertical="center"/>
    </xf>
    <xf numFmtId="0" fontId="185" fillId="0" borderId="169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7" fillId="43" borderId="170" applyNumberFormat="0" applyAlignment="0" applyProtection="0">
      <alignment vertical="center"/>
    </xf>
  </cellStyleXfs>
  <cellXfs count="2420">
    <xf numFmtId="0" fontId="0" fillId="0" borderId="0" xfId="0">
      <alignment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0" fillId="0" borderId="0" xfId="0" quotePrefix="1">
      <alignment vertical="center"/>
    </xf>
    <xf numFmtId="0" fontId="7" fillId="2" borderId="5" xfId="0" quotePrefix="1" applyFont="1" applyFill="1" applyBorder="1">
      <alignment vertical="center"/>
    </xf>
    <xf numFmtId="0" fontId="3" fillId="4" borderId="5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49" fontId="12" fillId="0" borderId="0" xfId="0" applyNumberFormat="1" applyFont="1">
      <alignment vertical="center"/>
    </xf>
    <xf numFmtId="0" fontId="12" fillId="0" borderId="2" xfId="0" applyFont="1" applyBorder="1">
      <alignment vertical="center"/>
    </xf>
    <xf numFmtId="0" fontId="16" fillId="0" borderId="0" xfId="0" applyFont="1">
      <alignment vertical="center"/>
    </xf>
    <xf numFmtId="49" fontId="15" fillId="0" borderId="0" xfId="0" applyNumberFormat="1" applyFont="1">
      <alignment vertical="center"/>
    </xf>
    <xf numFmtId="49" fontId="12" fillId="0" borderId="2" xfId="0" applyNumberFormat="1" applyFont="1" applyBorder="1">
      <alignment vertical="center"/>
    </xf>
    <xf numFmtId="0" fontId="15" fillId="0" borderId="2" xfId="0" applyFont="1" applyBorder="1">
      <alignment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8" fillId="0" borderId="1" xfId="0" applyFont="1" applyBorder="1" applyAlignment="1">
      <alignment horizontal="left" vertical="center"/>
    </xf>
    <xf numFmtId="0" fontId="35" fillId="0" borderId="2" xfId="0" applyFont="1" applyBorder="1">
      <alignment vertical="center"/>
    </xf>
    <xf numFmtId="0" fontId="39" fillId="0" borderId="5" xfId="0" applyFont="1" applyBorder="1">
      <alignment vertical="center"/>
    </xf>
    <xf numFmtId="0" fontId="39" fillId="0" borderId="5" xfId="0" quotePrefix="1" applyFont="1" applyBorder="1">
      <alignment vertical="center"/>
    </xf>
    <xf numFmtId="0" fontId="3" fillId="0" borderId="0" xfId="0" applyFont="1" applyAlignment="1">
      <alignment horizontal="right" vertical="center"/>
    </xf>
    <xf numFmtId="0" fontId="8" fillId="0" borderId="2" xfId="0" applyFont="1" applyBorder="1">
      <alignment vertical="center"/>
    </xf>
    <xf numFmtId="0" fontId="26" fillId="0" borderId="0" xfId="0" applyFont="1">
      <alignment vertical="center"/>
    </xf>
    <xf numFmtId="0" fontId="33" fillId="0" borderId="0" xfId="0" applyFont="1">
      <alignment vertical="center"/>
    </xf>
    <xf numFmtId="0" fontId="54" fillId="0" borderId="0" xfId="1" applyFont="1"/>
    <xf numFmtId="0" fontId="52" fillId="0" borderId="3" xfId="1" applyFont="1" applyBorder="1"/>
    <xf numFmtId="0" fontId="52" fillId="0" borderId="50" xfId="1" applyFont="1" applyBorder="1"/>
    <xf numFmtId="0" fontId="54" fillId="0" borderId="0" xfId="1" applyFont="1" applyAlignment="1">
      <alignment vertical="center"/>
    </xf>
    <xf numFmtId="0" fontId="52" fillId="0" borderId="35" xfId="1" applyFont="1" applyBorder="1" applyAlignment="1">
      <alignment vertical="center"/>
    </xf>
    <xf numFmtId="183" fontId="52" fillId="0" borderId="2" xfId="1" applyNumberFormat="1" applyFont="1" applyBorder="1" applyAlignment="1">
      <alignment vertical="center" shrinkToFit="1"/>
    </xf>
    <xf numFmtId="183" fontId="52" fillId="0" borderId="2" xfId="1" applyNumberFormat="1" applyFont="1" applyBorder="1" applyAlignment="1">
      <alignment vertical="center"/>
    </xf>
    <xf numFmtId="183" fontId="52" fillId="0" borderId="51" xfId="1" applyNumberFormat="1" applyFont="1" applyBorder="1" applyAlignment="1">
      <alignment vertical="center"/>
    </xf>
    <xf numFmtId="0" fontId="52" fillId="0" borderId="0" xfId="1" applyFont="1" applyAlignment="1">
      <alignment vertical="center"/>
    </xf>
    <xf numFmtId="0" fontId="52" fillId="0" borderId="0" xfId="1" applyFont="1"/>
    <xf numFmtId="0" fontId="52" fillId="0" borderId="3" xfId="1" applyFont="1" applyBorder="1" applyAlignment="1">
      <alignment vertical="center"/>
    </xf>
    <xf numFmtId="0" fontId="52" fillId="0" borderId="13" xfId="1" applyFont="1" applyBorder="1" applyAlignment="1">
      <alignment vertical="center"/>
    </xf>
    <xf numFmtId="0" fontId="52" fillId="0" borderId="0" xfId="1" applyFont="1" applyAlignment="1">
      <alignment shrinkToFit="1"/>
    </xf>
    <xf numFmtId="0" fontId="55" fillId="0" borderId="0" xfId="0" applyFont="1">
      <alignment vertical="center"/>
    </xf>
    <xf numFmtId="0" fontId="66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50" fillId="0" borderId="0" xfId="1"/>
    <xf numFmtId="0" fontId="54" fillId="0" borderId="4" xfId="1" applyFont="1" applyBorder="1" applyAlignment="1">
      <alignment vertical="center"/>
    </xf>
    <xf numFmtId="0" fontId="54" fillId="0" borderId="34" xfId="1" applyFont="1" applyBorder="1" applyAlignment="1">
      <alignment vertical="center"/>
    </xf>
    <xf numFmtId="0" fontId="54" fillId="0" borderId="0" xfId="3" applyFont="1">
      <alignment vertical="center"/>
    </xf>
    <xf numFmtId="0" fontId="52" fillId="0" borderId="0" xfId="1" applyFont="1" applyAlignment="1">
      <alignment horizontal="center" vertical="center"/>
    </xf>
    <xf numFmtId="183" fontId="52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86" fontId="12" fillId="0" borderId="0" xfId="0" applyNumberFormat="1" applyFont="1">
      <alignment vertical="center"/>
    </xf>
    <xf numFmtId="0" fontId="13" fillId="0" borderId="0" xfId="0" applyFont="1">
      <alignment vertical="center"/>
    </xf>
    <xf numFmtId="183" fontId="52" fillId="0" borderId="0" xfId="1" applyNumberFormat="1" applyFont="1" applyAlignment="1">
      <alignment vertical="center"/>
    </xf>
    <xf numFmtId="0" fontId="52" fillId="0" borderId="33" xfId="1" applyFont="1" applyBorder="1" applyAlignment="1">
      <alignment vertical="center"/>
    </xf>
    <xf numFmtId="0" fontId="76" fillId="0" borderId="10" xfId="0" applyFont="1" applyBorder="1">
      <alignment vertical="center"/>
    </xf>
    <xf numFmtId="0" fontId="76" fillId="0" borderId="11" xfId="0" applyFont="1" applyBorder="1">
      <alignment vertical="center"/>
    </xf>
    <xf numFmtId="0" fontId="82" fillId="0" borderId="3" xfId="0" applyFont="1" applyBorder="1" applyAlignment="1">
      <alignment vertical="center" shrinkToFit="1"/>
    </xf>
    <xf numFmtId="0" fontId="83" fillId="0" borderId="0" xfId="0" applyFont="1" applyAlignment="1">
      <alignment horizontal="center" vertical="center"/>
    </xf>
    <xf numFmtId="0" fontId="83" fillId="0" borderId="49" xfId="0" applyFont="1" applyBorder="1" applyAlignment="1">
      <alignment vertical="center" shrinkToFit="1"/>
    </xf>
    <xf numFmtId="0" fontId="82" fillId="0" borderId="49" xfId="0" applyFont="1" applyBorder="1" applyAlignment="1">
      <alignment vertical="center" shrinkToFit="1"/>
    </xf>
    <xf numFmtId="0" fontId="82" fillId="0" borderId="50" xfId="0" applyFont="1" applyBorder="1" applyAlignment="1">
      <alignment vertical="center" shrinkToFit="1"/>
    </xf>
    <xf numFmtId="0" fontId="83" fillId="0" borderId="3" xfId="0" applyFont="1" applyBorder="1" applyAlignment="1">
      <alignment vertical="center" shrinkToFit="1"/>
    </xf>
    <xf numFmtId="0" fontId="57" fillId="0" borderId="0" xfId="1" applyFont="1" applyAlignment="1">
      <alignment vertical="center"/>
    </xf>
    <xf numFmtId="0" fontId="54" fillId="0" borderId="0" xfId="1" applyFont="1" applyAlignment="1">
      <alignment horizontal="center"/>
    </xf>
    <xf numFmtId="0" fontId="76" fillId="12" borderId="0" xfId="5" applyFont="1" applyFill="1" applyAlignment="1">
      <alignment horizontal="center" vertical="center"/>
    </xf>
    <xf numFmtId="0" fontId="50" fillId="0" borderId="0" xfId="5"/>
    <xf numFmtId="0" fontId="50" fillId="13" borderId="0" xfId="5" applyFill="1"/>
    <xf numFmtId="0" fontId="76" fillId="13" borderId="0" xfId="5" applyFont="1" applyFill="1"/>
    <xf numFmtId="191" fontId="50" fillId="14" borderId="0" xfId="5" applyNumberFormat="1" applyFill="1"/>
    <xf numFmtId="189" fontId="50" fillId="14" borderId="0" xfId="5" applyNumberFormat="1" applyFill="1"/>
    <xf numFmtId="0" fontId="50" fillId="14" borderId="0" xfId="5" applyFill="1"/>
    <xf numFmtId="2" fontId="50" fillId="14" borderId="0" xfId="5" applyNumberFormat="1" applyFill="1"/>
    <xf numFmtId="189" fontId="50" fillId="0" borderId="0" xfId="1" applyNumberFormat="1"/>
    <xf numFmtId="2" fontId="50" fillId="0" borderId="0" xfId="1" applyNumberFormat="1"/>
    <xf numFmtId="0" fontId="54" fillId="0" borderId="0" xfId="1" applyFont="1" applyAlignment="1">
      <alignment horizontal="center" vertical="center"/>
    </xf>
    <xf numFmtId="0" fontId="54" fillId="0" borderId="0" xfId="1" applyFont="1" applyAlignment="1">
      <alignment horizontal="left" vertical="center" indent="1"/>
    </xf>
    <xf numFmtId="0" fontId="54" fillId="0" borderId="0" xfId="1" applyFont="1" applyAlignment="1">
      <alignment horizontal="left" vertical="center" indent="1" shrinkToFit="1"/>
    </xf>
    <xf numFmtId="0" fontId="76" fillId="0" borderId="0" xfId="0" applyFont="1" applyAlignment="1">
      <alignment horizontal="left" vertical="center" wrapText="1" indent="1" shrinkToFit="1"/>
    </xf>
    <xf numFmtId="183" fontId="52" fillId="0" borderId="2" xfId="1" applyNumberFormat="1" applyFont="1" applyBorder="1" applyAlignment="1">
      <alignment horizontal="center" vertical="center"/>
    </xf>
    <xf numFmtId="189" fontId="55" fillId="0" borderId="5" xfId="1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93" fontId="13" fillId="0" borderId="5" xfId="0" applyNumberFormat="1" applyFont="1" applyBorder="1" applyAlignment="1">
      <alignment horizontal="center" vertical="center"/>
    </xf>
    <xf numFmtId="189" fontId="13" fillId="0" borderId="5" xfId="0" applyNumberFormat="1" applyFont="1" applyBorder="1" applyAlignment="1">
      <alignment horizontal="center" vertical="center"/>
    </xf>
    <xf numFmtId="0" fontId="57" fillId="0" borderId="13" xfId="1" applyFont="1" applyBorder="1" applyAlignment="1">
      <alignment vertical="center"/>
    </xf>
    <xf numFmtId="0" fontId="52" fillId="0" borderId="13" xfId="1" applyFont="1" applyBorder="1"/>
    <xf numFmtId="0" fontId="83" fillId="0" borderId="0" xfId="0" applyFont="1" applyAlignment="1">
      <alignment vertical="center" shrinkToFit="1"/>
    </xf>
    <xf numFmtId="0" fontId="82" fillId="0" borderId="0" xfId="0" applyFont="1" applyAlignment="1">
      <alignment vertical="center" shrinkToFit="1"/>
    </xf>
    <xf numFmtId="0" fontId="52" fillId="0" borderId="3" xfId="1" applyFont="1" applyBorder="1" applyAlignment="1">
      <alignment horizontal="center"/>
    </xf>
    <xf numFmtId="183" fontId="52" fillId="0" borderId="2" xfId="1" applyNumberFormat="1" applyFont="1" applyBorder="1" applyAlignment="1">
      <alignment horizontal="center" vertical="center" shrinkToFit="1"/>
    </xf>
    <xf numFmtId="0" fontId="52" fillId="0" borderId="0" xfId="1" applyFont="1" applyAlignment="1">
      <alignment horizontal="center"/>
    </xf>
    <xf numFmtId="0" fontId="52" fillId="0" borderId="3" xfId="1" applyFont="1" applyBorder="1" applyAlignment="1">
      <alignment horizontal="center" vertical="center"/>
    </xf>
    <xf numFmtId="183" fontId="52" fillId="0" borderId="3" xfId="1" applyNumberFormat="1" applyFont="1" applyBorder="1" applyAlignment="1">
      <alignment horizontal="center" vertical="center"/>
    </xf>
    <xf numFmtId="191" fontId="52" fillId="0" borderId="3" xfId="1" applyNumberFormat="1" applyFont="1" applyBorder="1" applyAlignment="1">
      <alignment horizontal="center" vertical="center"/>
    </xf>
    <xf numFmtId="183" fontId="52" fillId="0" borderId="50" xfId="1" applyNumberFormat="1" applyFont="1" applyBorder="1" applyAlignment="1">
      <alignment horizontal="center" vertical="center"/>
    </xf>
    <xf numFmtId="0" fontId="52" fillId="0" borderId="33" xfId="1" applyFont="1" applyBorder="1" applyAlignment="1">
      <alignment horizontal="center" vertical="center"/>
    </xf>
    <xf numFmtId="0" fontId="54" fillId="0" borderId="78" xfId="1" applyFont="1" applyBorder="1" applyAlignment="1">
      <alignment horizontal="center" vertical="center"/>
    </xf>
    <xf numFmtId="0" fontId="54" fillId="0" borderId="81" xfId="1" applyFont="1" applyBorder="1" applyAlignment="1">
      <alignment horizontal="center" vertical="center"/>
    </xf>
    <xf numFmtId="0" fontId="54" fillId="0" borderId="79" xfId="1" applyFont="1" applyBorder="1" applyAlignment="1">
      <alignment horizontal="center" vertical="center"/>
    </xf>
    <xf numFmtId="0" fontId="0" fillId="0" borderId="32" xfId="0" applyBorder="1">
      <alignment vertical="center"/>
    </xf>
    <xf numFmtId="0" fontId="13" fillId="0" borderId="5" xfId="0" applyFont="1" applyBorder="1" applyAlignment="1">
      <alignment horizontal="center" vertical="center"/>
    </xf>
    <xf numFmtId="178" fontId="54" fillId="0" borderId="0" xfId="1" applyNumberFormat="1" applyFont="1"/>
    <xf numFmtId="178" fontId="54" fillId="0" borderId="0" xfId="1" applyNumberFormat="1" applyFont="1" applyAlignment="1">
      <alignment vertical="center"/>
    </xf>
    <xf numFmtId="178" fontId="52" fillId="0" borderId="0" xfId="1" applyNumberFormat="1" applyFont="1" applyAlignment="1">
      <alignment vertical="center"/>
    </xf>
    <xf numFmtId="178" fontId="13" fillId="0" borderId="5" xfId="0" applyNumberFormat="1" applyFont="1" applyBorder="1" applyAlignment="1">
      <alignment horizontal="center" vertical="center"/>
    </xf>
    <xf numFmtId="178" fontId="54" fillId="0" borderId="5" xfId="1" applyNumberFormat="1" applyFont="1" applyBorder="1" applyAlignment="1">
      <alignment horizontal="center" vertical="center"/>
    </xf>
    <xf numFmtId="0" fontId="52" fillId="0" borderId="5" xfId="1" applyFont="1" applyBorder="1" applyAlignment="1">
      <alignment vertical="center"/>
    </xf>
    <xf numFmtId="0" fontId="85" fillId="17" borderId="5" xfId="1" applyFont="1" applyFill="1" applyBorder="1" applyAlignment="1">
      <alignment horizontal="center" vertical="center"/>
    </xf>
    <xf numFmtId="0" fontId="56" fillId="17" borderId="5" xfId="1" applyFont="1" applyFill="1" applyBorder="1" applyAlignment="1">
      <alignment horizontal="center" vertical="center"/>
    </xf>
    <xf numFmtId="191" fontId="65" fillId="17" borderId="17" xfId="0" applyNumberFormat="1" applyFont="1" applyFill="1" applyBorder="1" applyAlignment="1">
      <alignment horizontal="center" vertical="center"/>
    </xf>
    <xf numFmtId="189" fontId="65" fillId="17" borderId="27" xfId="0" applyNumberFormat="1" applyFont="1" applyFill="1" applyBorder="1" applyAlignment="1">
      <alignment horizontal="center" vertical="center"/>
    </xf>
    <xf numFmtId="191" fontId="65" fillId="17" borderId="27" xfId="0" applyNumberFormat="1" applyFont="1" applyFill="1" applyBorder="1" applyAlignment="1">
      <alignment horizontal="center" vertical="center"/>
    </xf>
    <xf numFmtId="0" fontId="54" fillId="0" borderId="88" xfId="1" applyFont="1" applyBorder="1" applyAlignment="1">
      <alignment horizontal="center"/>
    </xf>
    <xf numFmtId="2" fontId="54" fillId="0" borderId="79" xfId="1" applyNumberFormat="1" applyFont="1" applyBorder="1" applyAlignment="1">
      <alignment horizontal="center"/>
    </xf>
    <xf numFmtId="181" fontId="64" fillId="0" borderId="39" xfId="0" applyNumberFormat="1" applyFont="1" applyBorder="1" applyAlignment="1">
      <alignment horizontal="center" vertical="center"/>
    </xf>
    <xf numFmtId="189" fontId="64" fillId="0" borderId="39" xfId="0" applyNumberFormat="1" applyFont="1" applyBorder="1" applyAlignment="1">
      <alignment horizontal="center" vertical="center"/>
    </xf>
    <xf numFmtId="189" fontId="64" fillId="0" borderId="4" xfId="0" applyNumberFormat="1" applyFont="1" applyBorder="1" applyAlignment="1">
      <alignment horizontal="center" vertical="center"/>
    </xf>
    <xf numFmtId="0" fontId="64" fillId="0" borderId="39" xfId="0" applyFont="1" applyBorder="1" applyAlignment="1">
      <alignment horizontal="center" vertical="center"/>
    </xf>
    <xf numFmtId="177" fontId="64" fillId="0" borderId="37" xfId="0" applyNumberFormat="1" applyFont="1" applyBorder="1" applyAlignment="1">
      <alignment horizontal="center" vertical="center"/>
    </xf>
    <xf numFmtId="0" fontId="64" fillId="0" borderId="37" xfId="0" applyFont="1" applyBorder="1" applyAlignment="1">
      <alignment horizontal="center" vertical="center"/>
    </xf>
    <xf numFmtId="0" fontId="64" fillId="0" borderId="34" xfId="0" applyFont="1" applyBorder="1" applyAlignment="1">
      <alignment horizontal="center" vertical="center"/>
    </xf>
    <xf numFmtId="0" fontId="64" fillId="0" borderId="89" xfId="0" applyFont="1" applyBorder="1" applyAlignment="1">
      <alignment horizontal="center" vertical="center"/>
    </xf>
    <xf numFmtId="0" fontId="64" fillId="0" borderId="90" xfId="0" applyFont="1" applyBorder="1" applyAlignment="1">
      <alignment horizontal="center" vertical="center"/>
    </xf>
    <xf numFmtId="0" fontId="91" fillId="0" borderId="89" xfId="0" applyFont="1" applyBorder="1" applyAlignment="1">
      <alignment horizontal="center" vertical="center"/>
    </xf>
    <xf numFmtId="0" fontId="64" fillId="0" borderId="91" xfId="0" applyFont="1" applyBorder="1" applyAlignment="1">
      <alignment horizontal="center" vertical="center"/>
    </xf>
    <xf numFmtId="0" fontId="93" fillId="0" borderId="37" xfId="0" applyFont="1" applyBorder="1" applyAlignment="1">
      <alignment horizontal="center" vertical="center"/>
    </xf>
    <xf numFmtId="184" fontId="93" fillId="0" borderId="37" xfId="0" applyNumberFormat="1" applyFont="1" applyBorder="1" applyAlignment="1">
      <alignment horizontal="center" vertical="center"/>
    </xf>
    <xf numFmtId="177" fontId="93" fillId="0" borderId="37" xfId="0" applyNumberFormat="1" applyFont="1" applyBorder="1" applyAlignment="1">
      <alignment horizontal="center" vertical="center"/>
    </xf>
    <xf numFmtId="177" fontId="93" fillId="0" borderId="89" xfId="0" applyNumberFormat="1" applyFont="1" applyBorder="1" applyAlignment="1">
      <alignment horizontal="center" vertical="center"/>
    </xf>
    <xf numFmtId="2" fontId="93" fillId="0" borderId="37" xfId="0" applyNumberFormat="1" applyFont="1" applyBorder="1" applyAlignment="1">
      <alignment horizontal="center" vertical="center"/>
    </xf>
    <xf numFmtId="2" fontId="93" fillId="0" borderId="89" xfId="0" applyNumberFormat="1" applyFont="1" applyBorder="1" applyAlignment="1">
      <alignment horizontal="center" vertical="center"/>
    </xf>
    <xf numFmtId="0" fontId="54" fillId="0" borderId="73" xfId="1" applyFont="1" applyBorder="1" applyAlignment="1">
      <alignment horizontal="center" vertical="center" wrapText="1"/>
    </xf>
    <xf numFmtId="0" fontId="59" fillId="5" borderId="73" xfId="1" applyFont="1" applyFill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54" fillId="0" borderId="73" xfId="1" applyFont="1" applyBorder="1" applyAlignment="1">
      <alignment textRotation="255"/>
    </xf>
    <xf numFmtId="2" fontId="54" fillId="0" borderId="73" xfId="1" applyNumberFormat="1" applyFont="1" applyBorder="1" applyAlignment="1">
      <alignment horizontal="center" vertical="center"/>
    </xf>
    <xf numFmtId="2" fontId="59" fillId="0" borderId="5" xfId="1" applyNumberFormat="1" applyFont="1" applyBorder="1" applyAlignment="1">
      <alignment horizontal="center"/>
    </xf>
    <xf numFmtId="0" fontId="95" fillId="0" borderId="13" xfId="1" applyFont="1" applyBorder="1" applyAlignment="1">
      <alignment vertical="center"/>
    </xf>
    <xf numFmtId="0" fontId="95" fillId="0" borderId="0" xfId="1" applyFont="1" applyAlignment="1">
      <alignment vertical="center"/>
    </xf>
    <xf numFmtId="0" fontId="96" fillId="0" borderId="0" xfId="0" applyFont="1" applyAlignment="1">
      <alignment vertical="center" shrinkToFit="1"/>
    </xf>
    <xf numFmtId="0" fontId="96" fillId="0" borderId="49" xfId="0" applyFont="1" applyBorder="1" applyAlignment="1">
      <alignment vertical="center" shrinkToFit="1"/>
    </xf>
    <xf numFmtId="0" fontId="99" fillId="0" borderId="0" xfId="1" applyFont="1" applyAlignment="1">
      <alignment vertical="center"/>
    </xf>
    <xf numFmtId="0" fontId="55" fillId="0" borderId="0" xfId="3" applyFont="1">
      <alignment vertical="center"/>
    </xf>
    <xf numFmtId="0" fontId="12" fillId="0" borderId="0" xfId="0" applyFont="1" applyAlignment="1">
      <alignment horizontal="center" vertical="center"/>
    </xf>
    <xf numFmtId="0" fontId="100" fillId="0" borderId="0" xfId="0" applyFont="1" applyAlignment="1">
      <alignment vertical="center" wrapText="1"/>
    </xf>
    <xf numFmtId="0" fontId="0" fillId="0" borderId="16" xfId="0" applyBorder="1">
      <alignment vertical="center"/>
    </xf>
    <xf numFmtId="0" fontId="101" fillId="0" borderId="0" xfId="0" applyFont="1">
      <alignment vertical="center"/>
    </xf>
    <xf numFmtId="0" fontId="35" fillId="0" borderId="0" xfId="0" applyFont="1">
      <alignment vertical="center"/>
    </xf>
    <xf numFmtId="197" fontId="1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/>
    </xf>
    <xf numFmtId="14" fontId="35" fillId="0" borderId="0" xfId="0" applyNumberFormat="1" applyFont="1">
      <alignment vertical="center"/>
    </xf>
    <xf numFmtId="0" fontId="102" fillId="0" borderId="0" xfId="0" applyFont="1">
      <alignment vertical="center"/>
    </xf>
    <xf numFmtId="49" fontId="35" fillId="0" borderId="0" xfId="0" applyNumberFormat="1" applyFont="1">
      <alignment vertical="center"/>
    </xf>
    <xf numFmtId="177" fontId="35" fillId="0" borderId="0" xfId="0" applyNumberFormat="1" applyFont="1">
      <alignment vertical="center"/>
    </xf>
    <xf numFmtId="0" fontId="102" fillId="0" borderId="0" xfId="0" applyFont="1" applyAlignment="1">
      <alignment vertical="center" shrinkToFit="1"/>
    </xf>
    <xf numFmtId="181" fontId="35" fillId="0" borderId="0" xfId="0" applyNumberFormat="1" applyFont="1">
      <alignment vertical="center"/>
    </xf>
    <xf numFmtId="181" fontId="35" fillId="0" borderId="0" xfId="0" applyNumberFormat="1" applyFont="1" applyProtection="1">
      <alignment vertical="center"/>
      <protection locked="0"/>
    </xf>
    <xf numFmtId="0" fontId="35" fillId="0" borderId="0" xfId="0" applyFont="1" applyAlignment="1">
      <alignment vertical="top"/>
    </xf>
    <xf numFmtId="0" fontId="64" fillId="0" borderId="0" xfId="0" applyFont="1" applyAlignment="1">
      <alignment horizontal="center" vertical="center"/>
    </xf>
    <xf numFmtId="184" fontId="92" fillId="0" borderId="37" xfId="1" applyNumberFormat="1" applyFont="1" applyBorder="1" applyAlignment="1">
      <alignment horizontal="center" vertical="center" shrinkToFit="1"/>
    </xf>
    <xf numFmtId="177" fontId="92" fillId="0" borderId="37" xfId="1" applyNumberFormat="1" applyFont="1" applyBorder="1" applyAlignment="1">
      <alignment horizontal="center" vertical="center" shrinkToFit="1"/>
    </xf>
    <xf numFmtId="181" fontId="52" fillId="0" borderId="39" xfId="1" applyNumberFormat="1" applyFont="1" applyBorder="1" applyAlignment="1">
      <alignment horizontal="center" vertical="center" shrinkToFit="1"/>
    </xf>
    <xf numFmtId="181" fontId="64" fillId="0" borderId="37" xfId="0" applyNumberFormat="1" applyFont="1" applyBorder="1" applyAlignment="1">
      <alignment horizontal="center" vertical="center"/>
    </xf>
    <xf numFmtId="177" fontId="52" fillId="0" borderId="37" xfId="1" applyNumberFormat="1" applyFont="1" applyBorder="1" applyAlignment="1">
      <alignment horizontal="center" vertical="center" shrinkToFit="1"/>
    </xf>
    <xf numFmtId="177" fontId="70" fillId="0" borderId="37" xfId="0" applyNumberFormat="1" applyFont="1" applyBorder="1" applyAlignment="1">
      <alignment horizontal="center" vertical="center"/>
    </xf>
    <xf numFmtId="181" fontId="70" fillId="0" borderId="39" xfId="0" applyNumberFormat="1" applyFont="1" applyBorder="1" applyAlignment="1">
      <alignment horizontal="center" vertical="center"/>
    </xf>
    <xf numFmtId="177" fontId="64" fillId="0" borderId="89" xfId="0" applyNumberFormat="1" applyFont="1" applyBorder="1" applyAlignment="1">
      <alignment horizontal="center" vertical="center"/>
    </xf>
    <xf numFmtId="181" fontId="64" fillId="0" borderId="90" xfId="0" applyNumberFormat="1" applyFont="1" applyBorder="1" applyAlignment="1">
      <alignment horizontal="center" vertical="center"/>
    </xf>
    <xf numFmtId="181" fontId="64" fillId="0" borderId="89" xfId="0" applyNumberFormat="1" applyFont="1" applyBorder="1" applyAlignment="1">
      <alignment horizontal="center" vertical="center"/>
    </xf>
    <xf numFmtId="0" fontId="55" fillId="0" borderId="78" xfId="0" applyFont="1" applyBorder="1">
      <alignment vertical="center"/>
    </xf>
    <xf numFmtId="189" fontId="55" fillId="0" borderId="78" xfId="0" applyNumberFormat="1" applyFont="1" applyBorder="1">
      <alignment vertical="center"/>
    </xf>
    <xf numFmtId="189" fontId="55" fillId="0" borderId="108" xfId="0" applyNumberFormat="1" applyFont="1" applyBorder="1">
      <alignment vertical="center"/>
    </xf>
    <xf numFmtId="189" fontId="0" fillId="0" borderId="0" xfId="0" applyNumberFormat="1">
      <alignment vertical="center"/>
    </xf>
    <xf numFmtId="0" fontId="55" fillId="0" borderId="81" xfId="0" applyFont="1" applyBorder="1">
      <alignment vertical="center"/>
    </xf>
    <xf numFmtId="189" fontId="55" fillId="0" borderId="81" xfId="0" applyNumberFormat="1" applyFont="1" applyBorder="1">
      <alignment vertical="center"/>
    </xf>
    <xf numFmtId="189" fontId="55" fillId="0" borderId="13" xfId="0" applyNumberFormat="1" applyFont="1" applyBorder="1">
      <alignment vertical="center"/>
    </xf>
    <xf numFmtId="189" fontId="0" fillId="0" borderId="78" xfId="0" applyNumberFormat="1" applyBorder="1">
      <alignment vertical="center"/>
    </xf>
    <xf numFmtId="189" fontId="0" fillId="0" borderId="81" xfId="0" applyNumberFormat="1" applyBorder="1">
      <alignment vertical="center"/>
    </xf>
    <xf numFmtId="0" fontId="55" fillId="0" borderId="79" xfId="0" applyFont="1" applyBorder="1">
      <alignment vertical="center"/>
    </xf>
    <xf numFmtId="189" fontId="55" fillId="0" borderId="79" xfId="0" applyNumberFormat="1" applyFont="1" applyBorder="1">
      <alignment vertical="center"/>
    </xf>
    <xf numFmtId="189" fontId="55" fillId="0" borderId="41" xfId="0" applyNumberFormat="1" applyFont="1" applyBorder="1">
      <alignment vertical="center"/>
    </xf>
    <xf numFmtId="184" fontId="92" fillId="0" borderId="30" xfId="1" applyNumberFormat="1" applyFont="1" applyBorder="1" applyAlignment="1">
      <alignment horizontal="center" vertical="center" shrinkToFit="1"/>
    </xf>
    <xf numFmtId="181" fontId="52" fillId="0" borderId="68" xfId="1" applyNumberFormat="1" applyFont="1" applyBorder="1" applyAlignment="1">
      <alignment horizontal="center" vertical="center" shrinkToFit="1"/>
    </xf>
    <xf numFmtId="177" fontId="92" fillId="0" borderId="30" xfId="1" applyNumberFormat="1" applyFont="1" applyBorder="1" applyAlignment="1">
      <alignment horizontal="center" vertical="center" shrinkToFit="1"/>
    </xf>
    <xf numFmtId="189" fontId="0" fillId="0" borderId="79" xfId="0" applyNumberFormat="1" applyBorder="1">
      <alignment vertical="center"/>
    </xf>
    <xf numFmtId="0" fontId="0" fillId="0" borderId="30" xfId="0" applyBorder="1">
      <alignment vertical="center"/>
    </xf>
    <xf numFmtId="0" fontId="0" fillId="0" borderId="68" xfId="0" applyBorder="1">
      <alignment vertical="center"/>
    </xf>
    <xf numFmtId="0" fontId="0" fillId="0" borderId="37" xfId="0" applyBorder="1">
      <alignment vertical="center"/>
    </xf>
    <xf numFmtId="0" fontId="0" fillId="0" borderId="39" xfId="0" applyBorder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54" fillId="0" borderId="5" xfId="1" applyFont="1" applyBorder="1" applyAlignment="1">
      <alignment horizontal="center" vertical="center"/>
    </xf>
    <xf numFmtId="0" fontId="55" fillId="0" borderId="73" xfId="0" applyFont="1" applyBorder="1">
      <alignment vertical="center"/>
    </xf>
    <xf numFmtId="0" fontId="0" fillId="0" borderId="49" xfId="0" applyBorder="1">
      <alignment vertical="center"/>
    </xf>
    <xf numFmtId="0" fontId="0" fillId="0" borderId="58" xfId="0" applyBorder="1">
      <alignment vertical="center"/>
    </xf>
    <xf numFmtId="0" fontId="55" fillId="0" borderId="94" xfId="0" applyFont="1" applyBorder="1">
      <alignment vertical="center"/>
    </xf>
    <xf numFmtId="0" fontId="106" fillId="0" borderId="78" xfId="0" applyFont="1" applyBorder="1">
      <alignment vertical="center"/>
    </xf>
    <xf numFmtId="0" fontId="106" fillId="0" borderId="81" xfId="0" applyFont="1" applyBorder="1">
      <alignment vertical="center"/>
    </xf>
    <xf numFmtId="0" fontId="106" fillId="0" borderId="79" xfId="0" applyFont="1" applyBorder="1">
      <alignment vertical="center"/>
    </xf>
    <xf numFmtId="0" fontId="106" fillId="0" borderId="0" xfId="0" applyFont="1">
      <alignment vertical="center"/>
    </xf>
    <xf numFmtId="0" fontId="107" fillId="0" borderId="110" xfId="0" applyFont="1" applyBorder="1">
      <alignment vertical="center"/>
    </xf>
    <xf numFmtId="0" fontId="108" fillId="0" borderId="111" xfId="0" applyFont="1" applyBorder="1" applyAlignment="1">
      <alignment horizontal="center" vertical="center"/>
    </xf>
    <xf numFmtId="0" fontId="108" fillId="0" borderId="112" xfId="0" applyFont="1" applyBorder="1" applyAlignment="1">
      <alignment horizontal="center" vertical="center"/>
    </xf>
    <xf numFmtId="0" fontId="107" fillId="0" borderId="78" xfId="0" applyFont="1" applyBorder="1">
      <alignment vertical="center"/>
    </xf>
    <xf numFmtId="0" fontId="109" fillId="0" borderId="32" xfId="0" applyFont="1" applyBorder="1">
      <alignment vertical="center"/>
    </xf>
    <xf numFmtId="0" fontId="109" fillId="0" borderId="109" xfId="0" applyFont="1" applyBorder="1">
      <alignment vertical="center"/>
    </xf>
    <xf numFmtId="0" fontId="55" fillId="0" borderId="13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55" fillId="0" borderId="41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184" fontId="114" fillId="0" borderId="0" xfId="0" applyNumberFormat="1" applyFont="1" applyAlignment="1">
      <alignment horizontal="center" vertical="center"/>
    </xf>
    <xf numFmtId="183" fontId="114" fillId="0" borderId="0" xfId="0" applyNumberFormat="1" applyFont="1" applyAlignment="1">
      <alignment horizontal="center" vertical="center"/>
    </xf>
    <xf numFmtId="0" fontId="88" fillId="0" borderId="10" xfId="0" applyFont="1" applyBorder="1" applyAlignment="1">
      <alignment horizontal="center" vertical="center"/>
    </xf>
    <xf numFmtId="0" fontId="88" fillId="0" borderId="12" xfId="0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/>
    </xf>
    <xf numFmtId="0" fontId="97" fillId="0" borderId="12" xfId="0" applyFont="1" applyBorder="1" applyAlignment="1">
      <alignment horizontal="center" vertical="center"/>
    </xf>
    <xf numFmtId="195" fontId="112" fillId="0" borderId="0" xfId="0" applyNumberFormat="1" applyFont="1" applyAlignment="1">
      <alignment horizontal="center" vertical="center"/>
    </xf>
    <xf numFmtId="0" fontId="54" fillId="0" borderId="12" xfId="1" applyFont="1" applyBorder="1"/>
    <xf numFmtId="183" fontId="115" fillId="0" borderId="0" xfId="0" applyNumberFormat="1" applyFont="1" applyAlignment="1">
      <alignment horizontal="center" vertical="center"/>
    </xf>
    <xf numFmtId="0" fontId="115" fillId="0" borderId="16" xfId="0" applyFont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5" xfId="0" applyFont="1" applyBorder="1" applyAlignment="1">
      <alignment horizontal="center" vertical="center"/>
    </xf>
    <xf numFmtId="0" fontId="121" fillId="0" borderId="5" xfId="0" applyFont="1" applyBorder="1" applyAlignment="1">
      <alignment horizontal="center" vertical="center"/>
    </xf>
    <xf numFmtId="0" fontId="122" fillId="0" borderId="6" xfId="0" applyFont="1" applyBorder="1" applyAlignment="1">
      <alignment horizontal="center" vertical="center"/>
    </xf>
    <xf numFmtId="191" fontId="65" fillId="0" borderId="0" xfId="0" applyNumberFormat="1" applyFont="1" applyAlignment="1">
      <alignment horizontal="center" vertical="center"/>
    </xf>
    <xf numFmtId="0" fontId="83" fillId="0" borderId="1" xfId="0" applyFont="1" applyBorder="1" applyAlignment="1">
      <alignment vertical="center" shrinkToFit="1"/>
    </xf>
    <xf numFmtId="195" fontId="35" fillId="0" borderId="0" xfId="0" applyNumberFormat="1" applyFont="1" applyAlignment="1">
      <alignment horizontal="center" vertical="center"/>
    </xf>
    <xf numFmtId="191" fontId="65" fillId="0" borderId="27" xfId="0" applyNumberFormat="1" applyFont="1" applyBorder="1" applyAlignment="1">
      <alignment horizontal="center" vertical="center"/>
    </xf>
    <xf numFmtId="0" fontId="55" fillId="0" borderId="1" xfId="1" applyFont="1" applyBorder="1" applyAlignment="1">
      <alignment vertical="center"/>
    </xf>
    <xf numFmtId="189" fontId="55" fillId="0" borderId="1" xfId="1" applyNumberFormat="1" applyFont="1" applyBorder="1" applyAlignment="1">
      <alignment vertical="center"/>
    </xf>
    <xf numFmtId="0" fontId="98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191" fontId="5" fillId="0" borderId="1" xfId="1" applyNumberFormat="1" applyFont="1" applyBorder="1" applyAlignment="1">
      <alignment vertical="center"/>
    </xf>
    <xf numFmtId="189" fontId="5" fillId="0" borderId="1" xfId="1" applyNumberFormat="1" applyFont="1" applyBorder="1" applyAlignment="1">
      <alignment vertical="center"/>
    </xf>
    <xf numFmtId="0" fontId="55" fillId="0" borderId="12" xfId="1" applyFont="1" applyBorder="1" applyAlignment="1">
      <alignment vertical="center"/>
    </xf>
    <xf numFmtId="189" fontId="55" fillId="0" borderId="12" xfId="1" applyNumberFormat="1" applyFont="1" applyBorder="1" applyAlignment="1">
      <alignment vertical="center"/>
    </xf>
    <xf numFmtId="0" fontId="98" fillId="0" borderId="12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191" fontId="5" fillId="0" borderId="12" xfId="1" applyNumberFormat="1" applyFont="1" applyBorder="1" applyAlignment="1">
      <alignment vertical="center"/>
    </xf>
    <xf numFmtId="189" fontId="5" fillId="0" borderId="12" xfId="1" applyNumberFormat="1" applyFont="1" applyBorder="1" applyAlignment="1">
      <alignment vertical="center"/>
    </xf>
    <xf numFmtId="0" fontId="121" fillId="15" borderId="0" xfId="0" applyFont="1" applyFill="1" applyAlignment="1">
      <alignment horizontal="center" vertical="center" wrapText="1"/>
    </xf>
    <xf numFmtId="0" fontId="124" fillId="0" borderId="0" xfId="1" applyFont="1"/>
    <xf numFmtId="0" fontId="124" fillId="0" borderId="0" xfId="1" applyFont="1" applyAlignment="1">
      <alignment vertical="center"/>
    </xf>
    <xf numFmtId="0" fontId="83" fillId="0" borderId="3" xfId="0" applyFont="1" applyBorder="1" applyAlignment="1">
      <alignment horizontal="center" vertical="center"/>
    </xf>
    <xf numFmtId="0" fontId="54" fillId="0" borderId="5" xfId="3" applyFont="1" applyBorder="1" applyAlignment="1">
      <alignment horizontal="center" vertical="center"/>
    </xf>
    <xf numFmtId="196" fontId="54" fillId="0" borderId="5" xfId="3" applyNumberFormat="1" applyFont="1" applyBorder="1">
      <alignment vertical="center"/>
    </xf>
    <xf numFmtId="0" fontId="102" fillId="0" borderId="0" xfId="0" applyFont="1" applyAlignment="1">
      <alignment horizontal="left" vertical="center"/>
    </xf>
    <xf numFmtId="197" fontId="102" fillId="0" borderId="0" xfId="0" applyNumberFormat="1" applyFont="1">
      <alignment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right" vertical="center"/>
    </xf>
    <xf numFmtId="186" fontId="102" fillId="0" borderId="0" xfId="0" applyNumberFormat="1" applyFont="1">
      <alignment vertical="center"/>
    </xf>
    <xf numFmtId="0" fontId="125" fillId="0" borderId="0" xfId="0" applyFont="1" applyAlignment="1">
      <alignment horizontal="center" vertical="center"/>
    </xf>
    <xf numFmtId="49" fontId="122" fillId="0" borderId="0" xfId="8" applyNumberFormat="1" applyFont="1">
      <alignment vertical="center"/>
    </xf>
    <xf numFmtId="0" fontId="122" fillId="0" borderId="0" xfId="9" applyFont="1">
      <alignment vertical="center"/>
    </xf>
    <xf numFmtId="0" fontId="122" fillId="0" borderId="0" xfId="9" applyFont="1" applyAlignment="1">
      <alignment horizontal="center" vertical="center"/>
    </xf>
    <xf numFmtId="183" fontId="102" fillId="0" borderId="0" xfId="0" applyNumberFormat="1" applyFont="1">
      <alignment vertical="center"/>
    </xf>
    <xf numFmtId="9" fontId="102" fillId="0" borderId="0" xfId="0" applyNumberFormat="1" applyFont="1">
      <alignment vertical="center"/>
    </xf>
    <xf numFmtId="0" fontId="122" fillId="0" borderId="0" xfId="9" applyFont="1" applyAlignment="1">
      <alignment vertical="center" wrapText="1"/>
    </xf>
    <xf numFmtId="0" fontId="122" fillId="0" borderId="0" xfId="1" applyFont="1" applyAlignment="1">
      <alignment horizontal="left" vertical="center"/>
    </xf>
    <xf numFmtId="0" fontId="122" fillId="0" borderId="0" xfId="1" applyFont="1" applyAlignment="1">
      <alignment vertical="center"/>
    </xf>
    <xf numFmtId="0" fontId="121" fillId="0" borderId="0" xfId="1" applyFont="1" applyAlignment="1">
      <alignment vertical="center"/>
    </xf>
    <xf numFmtId="0" fontId="121" fillId="0" borderId="2" xfId="1" quotePrefix="1" applyFont="1" applyBorder="1" applyAlignment="1">
      <alignment horizontal="center" vertical="center" shrinkToFit="1"/>
    </xf>
    <xf numFmtId="196" fontId="102" fillId="0" borderId="0" xfId="0" applyNumberFormat="1" applyFont="1">
      <alignment vertical="center"/>
    </xf>
    <xf numFmtId="0" fontId="55" fillId="0" borderId="0" xfId="0" applyFont="1" applyProtection="1">
      <alignment vertical="center"/>
      <protection locked="0"/>
    </xf>
    <xf numFmtId="0" fontId="67" fillId="0" borderId="0" xfId="0" applyFont="1" applyProtection="1">
      <alignment vertical="center"/>
      <protection locked="0"/>
    </xf>
    <xf numFmtId="203" fontId="65" fillId="15" borderId="106" xfId="0" applyNumberFormat="1" applyFont="1" applyFill="1" applyBorder="1" applyAlignment="1" applyProtection="1">
      <alignment horizontal="center" vertical="center" shrinkToFit="1"/>
      <protection locked="0"/>
    </xf>
    <xf numFmtId="49" fontId="65" fillId="15" borderId="107" xfId="0" applyNumberFormat="1" applyFont="1" applyFill="1" applyBorder="1" applyAlignment="1" applyProtection="1">
      <alignment horizontal="center" vertical="center" shrinkToFit="1"/>
      <protection locked="0"/>
    </xf>
    <xf numFmtId="201" fontId="55" fillId="15" borderId="5" xfId="0" applyNumberFormat="1" applyFont="1" applyFill="1" applyBorder="1" applyAlignment="1" applyProtection="1">
      <alignment horizontal="center" vertical="center"/>
      <protection locked="0"/>
    </xf>
    <xf numFmtId="202" fontId="66" fillId="15" borderId="18" xfId="0" applyNumberFormat="1" applyFont="1" applyFill="1" applyBorder="1" applyProtection="1">
      <alignment vertical="center"/>
      <protection locked="0"/>
    </xf>
    <xf numFmtId="196" fontId="65" fillId="15" borderId="106" xfId="0" applyNumberFormat="1" applyFont="1" applyFill="1" applyBorder="1" applyAlignment="1" applyProtection="1">
      <alignment horizontal="center" vertical="center" shrinkToFit="1"/>
      <protection locked="0"/>
    </xf>
    <xf numFmtId="0" fontId="66" fillId="15" borderId="5" xfId="0" applyFont="1" applyFill="1" applyBorder="1" applyAlignment="1" applyProtection="1">
      <alignment horizontal="center" vertical="center"/>
      <protection locked="0"/>
    </xf>
    <xf numFmtId="192" fontId="66" fillId="15" borderId="5" xfId="0" applyNumberFormat="1" applyFont="1" applyFill="1" applyBorder="1" applyAlignment="1" applyProtection="1">
      <alignment horizontal="center" vertical="center"/>
      <protection locked="0"/>
    </xf>
    <xf numFmtId="201" fontId="55" fillId="6" borderId="5" xfId="0" applyNumberFormat="1" applyFont="1" applyFill="1" applyBorder="1" applyAlignment="1" applyProtection="1">
      <alignment horizontal="center" vertical="center"/>
      <protection locked="0"/>
    </xf>
    <xf numFmtId="0" fontId="57" fillId="16" borderId="18" xfId="1" applyFont="1" applyFill="1" applyBorder="1" applyAlignment="1" applyProtection="1">
      <alignment horizontal="center" vertical="center" shrinkToFit="1"/>
      <protection locked="0"/>
    </xf>
    <xf numFmtId="0" fontId="57" fillId="0" borderId="0" xfId="1" applyFont="1" applyAlignment="1" applyProtection="1">
      <alignment vertical="center" shrinkToFit="1"/>
      <protection locked="0"/>
    </xf>
    <xf numFmtId="0" fontId="57" fillId="0" borderId="0" xfId="1" applyFont="1" applyAlignment="1" applyProtection="1">
      <alignment horizontal="center" vertical="center" shrinkToFit="1"/>
      <protection locked="0"/>
    </xf>
    <xf numFmtId="183" fontId="57" fillId="0" borderId="0" xfId="1" applyNumberFormat="1" applyFont="1" applyAlignment="1" applyProtection="1">
      <alignment vertical="center" shrinkToFit="1"/>
      <protection locked="0"/>
    </xf>
    <xf numFmtId="183" fontId="62" fillId="0" borderId="0" xfId="1" applyNumberFormat="1" applyFont="1" applyAlignment="1" applyProtection="1">
      <alignment vertical="center" shrinkToFit="1"/>
      <protection locked="0"/>
    </xf>
    <xf numFmtId="0" fontId="65" fillId="0" borderId="0" xfId="0" applyFont="1" applyProtection="1">
      <alignment vertical="center"/>
      <protection locked="0"/>
    </xf>
    <xf numFmtId="0" fontId="64" fillId="0" borderId="0" xfId="0" applyFont="1" applyProtection="1">
      <alignment vertical="center"/>
      <protection locked="0"/>
    </xf>
    <xf numFmtId="0" fontId="66" fillId="0" borderId="0" xfId="0" applyFont="1" applyProtection="1">
      <alignment vertical="center"/>
      <protection locked="0"/>
    </xf>
    <xf numFmtId="0" fontId="66" fillId="0" borderId="0" xfId="0" applyFont="1" applyAlignment="1" applyProtection="1">
      <alignment horizontal="center" vertical="center"/>
      <protection locked="0"/>
    </xf>
    <xf numFmtId="191" fontId="66" fillId="15" borderId="5" xfId="0" applyNumberFormat="1" applyFont="1" applyFill="1" applyBorder="1" applyAlignment="1" applyProtection="1">
      <alignment horizontal="center" vertical="center"/>
      <protection locked="0"/>
    </xf>
    <xf numFmtId="196" fontId="55" fillId="0" borderId="0" xfId="0" applyNumberFormat="1" applyFont="1" applyAlignment="1" applyProtection="1">
      <alignment horizontal="center" vertical="center"/>
      <protection locked="0"/>
    </xf>
    <xf numFmtId="183" fontId="54" fillId="17" borderId="0" xfId="0" applyNumberFormat="1" applyFont="1" applyFill="1" applyAlignment="1" applyProtection="1">
      <alignment horizontal="center" vertical="center"/>
      <protection locked="0"/>
    </xf>
    <xf numFmtId="184" fontId="55" fillId="0" borderId="0" xfId="0" applyNumberFormat="1" applyFont="1" applyAlignment="1" applyProtection="1">
      <alignment horizontal="center" vertical="center"/>
      <protection locked="0"/>
    </xf>
    <xf numFmtId="180" fontId="54" fillId="17" borderId="0" xfId="0" applyNumberFormat="1" applyFont="1" applyFill="1" applyAlignment="1" applyProtection="1">
      <alignment horizontal="center" vertical="center"/>
      <protection locked="0"/>
    </xf>
    <xf numFmtId="180" fontId="55" fillId="0" borderId="0" xfId="0" applyNumberFormat="1" applyFont="1" applyAlignment="1" applyProtection="1">
      <alignment horizontal="center" vertical="center"/>
      <protection locked="0"/>
    </xf>
    <xf numFmtId="177" fontId="54" fillId="17" borderId="0" xfId="0" applyNumberFormat="1" applyFont="1" applyFill="1" applyAlignment="1" applyProtection="1">
      <alignment horizontal="center" vertical="center"/>
      <protection locked="0"/>
    </xf>
    <xf numFmtId="0" fontId="55" fillId="0" borderId="3" xfId="0" applyFont="1" applyBorder="1" applyProtection="1">
      <alignment vertical="center"/>
      <protection locked="0"/>
    </xf>
    <xf numFmtId="0" fontId="55" fillId="0" borderId="3" xfId="0" applyFont="1" applyBorder="1" applyAlignment="1" applyProtection="1">
      <alignment horizontal="center" vertical="center"/>
      <protection locked="0"/>
    </xf>
    <xf numFmtId="0" fontId="67" fillId="0" borderId="3" xfId="0" applyFont="1" applyBorder="1" applyProtection="1">
      <alignment vertical="center"/>
      <protection locked="0"/>
    </xf>
    <xf numFmtId="0" fontId="65" fillId="0" borderId="0" xfId="0" applyFont="1" applyAlignment="1" applyProtection="1">
      <alignment horizontal="left" vertical="center"/>
      <protection locked="0"/>
    </xf>
    <xf numFmtId="0" fontId="77" fillId="0" borderId="0" xfId="0" applyFont="1" applyAlignment="1" applyProtection="1">
      <alignment horizontal="center" vertical="center"/>
      <protection locked="0"/>
    </xf>
    <xf numFmtId="0" fontId="77" fillId="0" borderId="0" xfId="0" applyFont="1" applyAlignment="1" applyProtection="1">
      <alignment horizontal="center" vertical="center" shrinkToFit="1"/>
      <protection locked="0"/>
    </xf>
    <xf numFmtId="0" fontId="77" fillId="0" borderId="0" xfId="0" applyFont="1" applyAlignment="1" applyProtection="1">
      <alignment vertical="center" shrinkToFit="1"/>
      <protection locked="0"/>
    </xf>
    <xf numFmtId="0" fontId="77" fillId="0" borderId="0" xfId="0" applyFont="1" applyProtection="1">
      <alignment vertical="center"/>
      <protection locked="0"/>
    </xf>
    <xf numFmtId="2" fontId="68" fillId="0" borderId="0" xfId="0" applyNumberFormat="1" applyFont="1" applyProtection="1">
      <alignment vertical="center"/>
      <protection locked="0"/>
    </xf>
    <xf numFmtId="1" fontId="66" fillId="0" borderId="0" xfId="0" applyNumberFormat="1" applyFont="1" applyProtection="1">
      <alignment vertical="center"/>
      <protection locked="0"/>
    </xf>
    <xf numFmtId="183" fontId="77" fillId="0" borderId="0" xfId="0" applyNumberFormat="1" applyFont="1" applyAlignment="1" applyProtection="1">
      <alignment horizontal="center" vertical="center"/>
      <protection locked="0"/>
    </xf>
    <xf numFmtId="184" fontId="77" fillId="0" borderId="0" xfId="0" applyNumberFormat="1" applyFont="1" applyAlignment="1" applyProtection="1">
      <alignment horizontal="center" vertical="center" shrinkToFit="1"/>
      <protection locked="0"/>
    </xf>
    <xf numFmtId="184" fontId="77" fillId="0" borderId="0" xfId="0" applyNumberFormat="1" applyFont="1" applyAlignment="1" applyProtection="1">
      <alignment vertical="center" shrinkToFit="1"/>
      <protection locked="0"/>
    </xf>
    <xf numFmtId="183" fontId="77" fillId="0" borderId="0" xfId="0" applyNumberFormat="1" applyFont="1" applyProtection="1">
      <alignment vertical="center"/>
      <protection locked="0"/>
    </xf>
    <xf numFmtId="183" fontId="77" fillId="0" borderId="0" xfId="0" applyNumberFormat="1" applyFont="1" applyAlignment="1" applyProtection="1">
      <alignment horizontal="center" vertical="center" shrinkToFit="1"/>
      <protection locked="0"/>
    </xf>
    <xf numFmtId="183" fontId="77" fillId="0" borderId="0" xfId="0" applyNumberFormat="1" applyFont="1" applyAlignment="1" applyProtection="1">
      <alignment vertical="center" shrinkToFit="1"/>
      <protection locked="0"/>
    </xf>
    <xf numFmtId="176" fontId="77" fillId="0" borderId="0" xfId="0" applyNumberFormat="1" applyFont="1" applyAlignment="1" applyProtection="1">
      <alignment horizontal="center" vertical="center" shrinkToFit="1"/>
      <protection locked="0"/>
    </xf>
    <xf numFmtId="177" fontId="55" fillId="0" borderId="0" xfId="0" applyNumberFormat="1" applyFont="1" applyAlignment="1" applyProtection="1">
      <alignment horizontal="center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1" fontId="65" fillId="0" borderId="0" xfId="0" applyNumberFormat="1" applyFont="1" applyAlignment="1" applyProtection="1">
      <alignment horizontal="center" vertical="center"/>
      <protection locked="0"/>
    </xf>
    <xf numFmtId="189" fontId="65" fillId="0" borderId="0" xfId="0" applyNumberFormat="1" applyFont="1" applyAlignment="1" applyProtection="1">
      <alignment horizontal="center" vertical="center"/>
      <protection locked="0"/>
    </xf>
    <xf numFmtId="0" fontId="71" fillId="0" borderId="0" xfId="0" applyFont="1" applyProtection="1">
      <alignment vertical="center"/>
      <protection locked="0"/>
    </xf>
    <xf numFmtId="181" fontId="52" fillId="0" borderId="0" xfId="1" applyNumberFormat="1" applyFont="1" applyAlignment="1" applyProtection="1">
      <alignment vertical="center" shrinkToFit="1"/>
      <protection locked="0"/>
    </xf>
    <xf numFmtId="0" fontId="52" fillId="0" borderId="0" xfId="1" applyFont="1" applyAlignment="1" applyProtection="1">
      <alignment vertical="center" shrinkToFit="1"/>
      <protection locked="0"/>
    </xf>
    <xf numFmtId="0" fontId="65" fillId="0" borderId="0" xfId="0" applyFont="1" applyAlignment="1" applyProtection="1">
      <alignment vertical="center" wrapText="1"/>
      <protection locked="0"/>
    </xf>
    <xf numFmtId="181" fontId="70" fillId="0" borderId="0" xfId="0" applyNumberFormat="1" applyFont="1" applyProtection="1">
      <alignment vertical="center"/>
      <protection locked="0"/>
    </xf>
    <xf numFmtId="183" fontId="52" fillId="0" borderId="0" xfId="1" applyNumberFormat="1" applyFont="1" applyAlignment="1" applyProtection="1">
      <alignment horizontal="center" vertical="center" shrinkToFit="1"/>
      <protection locked="0"/>
    </xf>
    <xf numFmtId="183" fontId="52" fillId="0" borderId="0" xfId="1" applyNumberFormat="1" applyFont="1" applyAlignment="1" applyProtection="1">
      <alignment vertical="center" shrinkToFit="1"/>
      <protection locked="0"/>
    </xf>
    <xf numFmtId="0" fontId="55" fillId="0" borderId="0" xfId="0" applyFont="1" applyAlignment="1" applyProtection="1">
      <alignment vertical="center" shrinkToFit="1"/>
      <protection locked="0"/>
    </xf>
    <xf numFmtId="0" fontId="59" fillId="15" borderId="6" xfId="0" applyFont="1" applyFill="1" applyBorder="1" applyAlignment="1" applyProtection="1">
      <alignment horizontal="center" vertical="center"/>
      <protection locked="0"/>
    </xf>
    <xf numFmtId="0" fontId="65" fillId="7" borderId="7" xfId="0" applyFont="1" applyFill="1" applyBorder="1" applyAlignment="1" applyProtection="1">
      <alignment horizontal="center" vertical="center"/>
      <protection locked="0"/>
    </xf>
    <xf numFmtId="187" fontId="64" fillId="0" borderId="0" xfId="0" applyNumberFormat="1" applyFont="1" applyProtection="1">
      <alignment vertical="center"/>
      <protection locked="0"/>
    </xf>
    <xf numFmtId="191" fontId="64" fillId="0" borderId="0" xfId="0" applyNumberFormat="1" applyFont="1" applyProtection="1">
      <alignment vertical="center"/>
      <protection locked="0"/>
    </xf>
    <xf numFmtId="2" fontId="55" fillId="0" borderId="0" xfId="0" applyNumberFormat="1" applyFont="1" applyProtection="1">
      <alignment vertical="center"/>
      <protection locked="0"/>
    </xf>
    <xf numFmtId="189" fontId="64" fillId="0" borderId="0" xfId="0" applyNumberFormat="1" applyFont="1" applyAlignment="1" applyProtection="1">
      <alignment horizontal="center" vertical="center"/>
      <protection locked="0"/>
    </xf>
    <xf numFmtId="189" fontId="64" fillId="0" borderId="0" xfId="0" applyNumberFormat="1" applyFont="1" applyProtection="1">
      <alignment vertical="center"/>
      <protection locked="0"/>
    </xf>
    <xf numFmtId="0" fontId="64" fillId="0" borderId="0" xfId="0" applyFont="1" applyAlignment="1" applyProtection="1">
      <alignment vertical="center" shrinkToFit="1"/>
      <protection locked="0"/>
    </xf>
    <xf numFmtId="0" fontId="65" fillId="0" borderId="0" xfId="0" applyFont="1" applyAlignment="1" applyProtection="1">
      <alignment vertical="center" shrinkToFit="1"/>
      <protection locked="0"/>
    </xf>
    <xf numFmtId="181" fontId="65" fillId="0" borderId="0" xfId="0" applyNumberFormat="1" applyFont="1" applyAlignment="1" applyProtection="1">
      <alignment vertical="center" shrinkToFit="1"/>
      <protection locked="0"/>
    </xf>
    <xf numFmtId="181" fontId="55" fillId="0" borderId="0" xfId="0" applyNumberFormat="1" applyFont="1" applyProtection="1">
      <alignment vertical="center"/>
      <protection locked="0"/>
    </xf>
    <xf numFmtId="181" fontId="66" fillId="0" borderId="0" xfId="0" applyNumberFormat="1" applyFont="1" applyProtection="1">
      <alignment vertical="center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1" fontId="65" fillId="0" borderId="0" xfId="0" applyNumberFormat="1" applyFont="1" applyAlignment="1" applyProtection="1">
      <alignment horizontal="center" vertical="center" shrinkToFit="1"/>
      <protection locked="0"/>
    </xf>
    <xf numFmtId="0" fontId="85" fillId="15" borderId="0" xfId="0" applyFont="1" applyFill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vertical="center" wrapText="1"/>
      <protection locked="0"/>
    </xf>
    <xf numFmtId="179" fontId="64" fillId="0" borderId="0" xfId="0" applyNumberFormat="1" applyFont="1" applyProtection="1">
      <alignment vertical="center"/>
      <protection locked="0"/>
    </xf>
    <xf numFmtId="0" fontId="65" fillId="16" borderId="5" xfId="0" applyFont="1" applyFill="1" applyBorder="1" applyProtection="1">
      <alignment vertical="center"/>
      <protection locked="0"/>
    </xf>
    <xf numFmtId="179" fontId="55" fillId="0" borderId="0" xfId="0" applyNumberFormat="1" applyFont="1" applyProtection="1">
      <alignment vertical="center"/>
      <protection locked="0"/>
    </xf>
    <xf numFmtId="191" fontId="55" fillId="0" borderId="0" xfId="0" applyNumberFormat="1" applyFont="1" applyProtection="1">
      <alignment vertical="center"/>
      <protection locked="0"/>
    </xf>
    <xf numFmtId="189" fontId="55" fillId="0" borderId="0" xfId="0" applyNumberFormat="1" applyFont="1" applyProtection="1">
      <alignment vertical="center"/>
      <protection locked="0"/>
    </xf>
    <xf numFmtId="0" fontId="64" fillId="18" borderId="7" xfId="0" applyFont="1" applyFill="1" applyBorder="1" applyAlignment="1" applyProtection="1">
      <alignment horizontal="right" vertical="center"/>
      <protection locked="0"/>
    </xf>
    <xf numFmtId="0" fontId="69" fillId="15" borderId="5" xfId="0" applyFont="1" applyFill="1" applyBorder="1" applyAlignment="1" applyProtection="1">
      <alignment horizontal="center" vertical="center"/>
      <protection locked="0"/>
    </xf>
    <xf numFmtId="177" fontId="55" fillId="0" borderId="0" xfId="0" applyNumberFormat="1" applyFont="1" applyProtection="1">
      <alignment vertical="center"/>
      <protection locked="0"/>
    </xf>
    <xf numFmtId="0" fontId="65" fillId="0" borderId="1" xfId="0" applyFont="1" applyBorder="1" applyProtection="1">
      <alignment vertical="center"/>
      <protection locked="0"/>
    </xf>
    <xf numFmtId="177" fontId="105" fillId="15" borderId="7" xfId="1" applyNumberFormat="1" applyFont="1" applyFill="1" applyBorder="1" applyAlignment="1" applyProtection="1">
      <alignment horizontal="center" vertical="center"/>
      <protection locked="0"/>
    </xf>
    <xf numFmtId="0" fontId="76" fillId="0" borderId="0" xfId="1" applyFont="1" applyAlignment="1" applyProtection="1">
      <alignment horizontal="center" vertical="center"/>
      <protection locked="0"/>
    </xf>
    <xf numFmtId="2" fontId="57" fillId="0" borderId="0" xfId="0" applyNumberFormat="1" applyFont="1" applyProtection="1">
      <alignment vertical="center"/>
      <protection locked="0"/>
    </xf>
    <xf numFmtId="0" fontId="52" fillId="0" borderId="5" xfId="1" applyFont="1" applyBorder="1" applyAlignment="1" applyProtection="1">
      <alignment horizontal="center" vertical="center"/>
      <protection locked="0"/>
    </xf>
    <xf numFmtId="191" fontId="52" fillId="0" borderId="5" xfId="1" applyNumberFormat="1" applyFont="1" applyBorder="1" applyAlignment="1" applyProtection="1">
      <alignment horizontal="center" vertical="center"/>
      <protection locked="0"/>
    </xf>
    <xf numFmtId="0" fontId="64" fillId="0" borderId="5" xfId="0" applyFont="1" applyBorder="1" applyAlignment="1" applyProtection="1">
      <alignment horizontal="center" vertical="center"/>
      <protection locked="0"/>
    </xf>
    <xf numFmtId="2" fontId="52" fillId="0" borderId="5" xfId="1" applyNumberFormat="1" applyFont="1" applyBorder="1" applyAlignment="1" applyProtection="1">
      <alignment horizontal="center" vertical="center"/>
      <protection locked="0"/>
    </xf>
    <xf numFmtId="2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52" fillId="0" borderId="5" xfId="1" applyNumberFormat="1" applyFont="1" applyBorder="1" applyAlignment="1" applyProtection="1">
      <alignment horizontal="center" vertical="center" shrinkToFit="1"/>
      <protection locked="0"/>
    </xf>
    <xf numFmtId="193" fontId="64" fillId="0" borderId="0" xfId="0" applyNumberFormat="1" applyFont="1" applyProtection="1">
      <alignment vertical="center"/>
      <protection locked="0"/>
    </xf>
    <xf numFmtId="2" fontId="64" fillId="0" borderId="5" xfId="0" applyNumberFormat="1" applyFont="1" applyBorder="1" applyAlignment="1" applyProtection="1">
      <alignment horizontal="center" vertical="center"/>
      <protection locked="0"/>
    </xf>
    <xf numFmtId="191" fontId="64" fillId="0" borderId="5" xfId="0" applyNumberFormat="1" applyFont="1" applyBorder="1" applyAlignment="1" applyProtection="1">
      <alignment horizontal="center" vertical="center"/>
      <protection locked="0"/>
    </xf>
    <xf numFmtId="183" fontId="57" fillId="0" borderId="0" xfId="1" applyNumberFormat="1" applyFont="1" applyAlignment="1" applyProtection="1">
      <alignment horizontal="center" vertical="center" shrinkToFit="1"/>
      <protection locked="0"/>
    </xf>
    <xf numFmtId="0" fontId="80" fillId="0" borderId="0" xfId="0" applyFont="1" applyAlignment="1" applyProtection="1">
      <alignment vertical="center" wrapText="1" shrinkToFit="1"/>
      <protection locked="0"/>
    </xf>
    <xf numFmtId="0" fontId="77" fillId="0" borderId="0" xfId="0" applyFont="1" applyAlignment="1" applyProtection="1">
      <alignment vertical="center" wrapText="1" shrinkToFit="1"/>
      <protection locked="0"/>
    </xf>
    <xf numFmtId="177" fontId="77" fillId="0" borderId="0" xfId="0" applyNumberFormat="1" applyFont="1" applyAlignment="1" applyProtection="1">
      <alignment horizontal="center" vertical="center"/>
      <protection locked="0"/>
    </xf>
    <xf numFmtId="0" fontId="80" fillId="0" borderId="0" xfId="0" applyFont="1" applyAlignment="1" applyProtection="1">
      <alignment vertical="center" shrinkToFit="1"/>
      <protection locked="0"/>
    </xf>
    <xf numFmtId="0" fontId="76" fillId="0" borderId="0" xfId="0" applyFont="1" applyAlignment="1" applyProtection="1">
      <alignment horizontal="center" vertical="center"/>
      <protection locked="0"/>
    </xf>
    <xf numFmtId="0" fontId="76" fillId="0" borderId="0" xfId="0" applyFont="1" applyAlignment="1" applyProtection="1">
      <alignment horizontal="center" vertical="center" shrinkToFit="1"/>
      <protection locked="0"/>
    </xf>
    <xf numFmtId="0" fontId="76" fillId="0" borderId="0" xfId="0" applyFont="1" applyAlignment="1" applyProtection="1">
      <protection locked="0"/>
    </xf>
    <xf numFmtId="183" fontId="79" fillId="0" borderId="0" xfId="0" applyNumberFormat="1" applyFont="1" applyAlignment="1" applyProtection="1">
      <alignment horizontal="center" vertical="center"/>
      <protection locked="0"/>
    </xf>
    <xf numFmtId="177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 applyProtection="1">
      <alignment horizontal="center" vertical="center"/>
      <protection locked="0"/>
    </xf>
    <xf numFmtId="184" fontId="113" fillId="0" borderId="0" xfId="0" applyNumberFormat="1" applyFont="1">
      <alignment vertical="center"/>
    </xf>
    <xf numFmtId="0" fontId="128" fillId="0" borderId="0" xfId="3" applyFont="1" applyAlignment="1">
      <alignment horizontal="left" vertical="center"/>
    </xf>
    <xf numFmtId="0" fontId="116" fillId="0" borderId="0" xfId="3" applyFont="1" applyAlignment="1">
      <alignment horizontal="left" vertical="center"/>
    </xf>
    <xf numFmtId="0" fontId="129" fillId="0" borderId="0" xfId="3" applyFont="1">
      <alignment vertical="center"/>
    </xf>
    <xf numFmtId="179" fontId="128" fillId="0" borderId="7" xfId="3" applyNumberFormat="1" applyFont="1" applyBorder="1" applyAlignment="1">
      <alignment horizontal="center" vertical="center"/>
    </xf>
    <xf numFmtId="179" fontId="133" fillId="0" borderId="7" xfId="3" applyNumberFormat="1" applyFont="1" applyBorder="1" applyAlignment="1">
      <alignment horizontal="center" vertical="center"/>
    </xf>
    <xf numFmtId="179" fontId="128" fillId="0" borderId="34" xfId="3" applyNumberFormat="1" applyFont="1" applyBorder="1" applyAlignment="1">
      <alignment horizontal="center" vertical="center"/>
    </xf>
    <xf numFmtId="179" fontId="128" fillId="0" borderId="7" xfId="3" applyNumberFormat="1" applyFont="1" applyBorder="1" applyAlignment="1">
      <alignment horizontal="center" vertical="center" shrinkToFit="1"/>
    </xf>
    <xf numFmtId="0" fontId="128" fillId="0" borderId="6" xfId="3" applyFont="1" applyBorder="1">
      <alignment vertical="center"/>
    </xf>
    <xf numFmtId="0" fontId="128" fillId="0" borderId="4" xfId="3" applyFont="1" applyBorder="1">
      <alignment vertical="center"/>
    </xf>
    <xf numFmtId="0" fontId="128" fillId="6" borderId="4" xfId="3" applyFont="1" applyFill="1" applyBorder="1" applyAlignment="1">
      <alignment horizontal="center" vertical="center" shrinkToFit="1"/>
    </xf>
    <xf numFmtId="198" fontId="129" fillId="0" borderId="0" xfId="3" applyNumberFormat="1" applyFont="1">
      <alignment vertical="center"/>
    </xf>
    <xf numFmtId="0" fontId="128" fillId="0" borderId="34" xfId="3" applyFont="1" applyBorder="1" applyAlignment="1">
      <alignment vertical="center" shrinkToFit="1"/>
    </xf>
    <xf numFmtId="0" fontId="116" fillId="0" borderId="6" xfId="3" applyFont="1" applyBorder="1">
      <alignment vertical="center"/>
    </xf>
    <xf numFmtId="0" fontId="116" fillId="0" borderId="4" xfId="3" applyFont="1" applyBorder="1">
      <alignment vertical="center"/>
    </xf>
    <xf numFmtId="0" fontId="12" fillId="0" borderId="4" xfId="3" applyFont="1" applyBorder="1" applyAlignment="1">
      <alignment horizontal="center" vertical="center"/>
    </xf>
    <xf numFmtId="0" fontId="116" fillId="0" borderId="34" xfId="3" applyFont="1" applyBorder="1">
      <alignment vertical="center"/>
    </xf>
    <xf numFmtId="0" fontId="116" fillId="0" borderId="33" xfId="3" applyFont="1" applyBorder="1">
      <alignment vertical="center"/>
    </xf>
    <xf numFmtId="0" fontId="116" fillId="0" borderId="3" xfId="3" applyFont="1" applyBorder="1">
      <alignment vertical="center"/>
    </xf>
    <xf numFmtId="0" fontId="116" fillId="0" borderId="50" xfId="3" applyFont="1" applyBorder="1">
      <alignment vertical="center"/>
    </xf>
    <xf numFmtId="0" fontId="116" fillId="0" borderId="0" xfId="3" applyFont="1">
      <alignment vertical="center"/>
    </xf>
    <xf numFmtId="0" fontId="116" fillId="0" borderId="49" xfId="3" applyFont="1" applyBorder="1">
      <alignment vertical="center"/>
    </xf>
    <xf numFmtId="0" fontId="129" fillId="0" borderId="13" xfId="3" applyFont="1" applyBorder="1">
      <alignment vertical="center"/>
    </xf>
    <xf numFmtId="0" fontId="116" fillId="6" borderId="0" xfId="3" applyFont="1" applyFill="1" applyAlignment="1">
      <alignment horizontal="center" vertical="center"/>
    </xf>
    <xf numFmtId="192" fontId="116" fillId="6" borderId="0" xfId="3" applyNumberFormat="1" applyFont="1" applyFill="1" applyAlignment="1">
      <alignment horizontal="center" vertical="center"/>
    </xf>
    <xf numFmtId="0" fontId="129" fillId="0" borderId="49" xfId="3" applyFont="1" applyBorder="1">
      <alignment vertical="center"/>
    </xf>
    <xf numFmtId="0" fontId="129" fillId="0" borderId="16" xfId="3" applyFont="1" applyBorder="1">
      <alignment vertical="center"/>
    </xf>
    <xf numFmtId="0" fontId="13" fillId="0" borderId="82" xfId="0" applyFont="1" applyBorder="1">
      <alignment vertical="center"/>
    </xf>
    <xf numFmtId="0" fontId="132" fillId="0" borderId="87" xfId="3" applyFont="1" applyBorder="1">
      <alignment vertical="center"/>
    </xf>
    <xf numFmtId="0" fontId="132" fillId="0" borderId="87" xfId="3" applyFont="1" applyBorder="1" applyAlignment="1">
      <alignment horizontal="center" vertical="center"/>
    </xf>
    <xf numFmtId="0" fontId="129" fillId="0" borderId="113" xfId="3" applyFont="1" applyBorder="1">
      <alignment vertical="center"/>
    </xf>
    <xf numFmtId="0" fontId="129" fillId="0" borderId="121" xfId="3" applyFont="1" applyBorder="1">
      <alignment vertical="center"/>
    </xf>
    <xf numFmtId="0" fontId="129" fillId="0" borderId="87" xfId="3" applyFont="1" applyBorder="1">
      <alignment vertical="center"/>
    </xf>
    <xf numFmtId="0" fontId="129" fillId="0" borderId="82" xfId="3" applyFont="1" applyBorder="1">
      <alignment vertical="center"/>
    </xf>
    <xf numFmtId="0" fontId="128" fillId="0" borderId="4" xfId="1" applyFont="1" applyBorder="1"/>
    <xf numFmtId="0" fontId="132" fillId="0" borderId="113" xfId="3" applyFont="1" applyBorder="1" applyAlignment="1">
      <alignment horizontal="center" vertical="center"/>
    </xf>
    <xf numFmtId="0" fontId="132" fillId="0" borderId="0" xfId="3" applyFont="1">
      <alignment vertical="center"/>
    </xf>
    <xf numFmtId="0" fontId="128" fillId="0" borderId="6" xfId="1" applyFont="1" applyBorder="1"/>
    <xf numFmtId="0" fontId="128" fillId="0" borderId="34" xfId="3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 shrinkToFit="1"/>
    </xf>
    <xf numFmtId="199" fontId="128" fillId="0" borderId="34" xfId="3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8" fillId="0" borderId="4" xfId="3" applyFont="1" applyBorder="1" applyAlignment="1">
      <alignment horizontal="center" vertical="center"/>
    </xf>
    <xf numFmtId="0" fontId="128" fillId="6" borderId="4" xfId="3" applyFont="1" applyFill="1" applyBorder="1" applyAlignment="1">
      <alignment vertical="center" shrinkToFit="1"/>
    </xf>
    <xf numFmtId="0" fontId="128" fillId="0" borderId="34" xfId="3" applyFont="1" applyBorder="1" applyAlignment="1">
      <alignment horizontal="center" vertical="center" shrinkToFit="1"/>
    </xf>
    <xf numFmtId="0" fontId="137" fillId="8" borderId="4" xfId="3" applyFont="1" applyFill="1" applyBorder="1">
      <alignment vertical="center"/>
    </xf>
    <xf numFmtId="0" fontId="116" fillId="0" borderId="4" xfId="3" applyFont="1" applyBorder="1" applyAlignment="1">
      <alignment horizontal="center" vertical="center"/>
    </xf>
    <xf numFmtId="0" fontId="116" fillId="0" borderId="0" xfId="3" applyFont="1" applyAlignment="1">
      <alignment horizontal="center" vertical="center"/>
    </xf>
    <xf numFmtId="192" fontId="116" fillId="0" borderId="0" xfId="3" applyNumberFormat="1" applyFont="1" applyAlignment="1">
      <alignment horizontal="center" vertical="center"/>
    </xf>
    <xf numFmtId="0" fontId="129" fillId="0" borderId="49" xfId="3" applyFont="1" applyBorder="1" applyAlignment="1">
      <alignment vertical="center" shrinkToFit="1"/>
    </xf>
    <xf numFmtId="0" fontId="13" fillId="0" borderId="32" xfId="0" applyFont="1" applyBorder="1">
      <alignment vertical="center"/>
    </xf>
    <xf numFmtId="0" fontId="13" fillId="0" borderId="83" xfId="0" applyFont="1" applyBorder="1">
      <alignment vertical="center"/>
    </xf>
    <xf numFmtId="0" fontId="138" fillId="0" borderId="0" xfId="0" applyFont="1" applyAlignment="1">
      <alignment vertical="center" wrapText="1"/>
    </xf>
    <xf numFmtId="0" fontId="103" fillId="0" borderId="0" xfId="0" applyFont="1">
      <alignment vertical="center"/>
    </xf>
    <xf numFmtId="0" fontId="142" fillId="0" borderId="0" xfId="1" applyFont="1" applyAlignment="1">
      <alignment vertical="center"/>
    </xf>
    <xf numFmtId="0" fontId="129" fillId="0" borderId="0" xfId="1" applyFont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29" fillId="0" borderId="0" xfId="1" applyFont="1"/>
    <xf numFmtId="197" fontId="12" fillId="0" borderId="0" xfId="0" applyNumberFormat="1" applyFont="1" applyAlignment="1">
      <alignment horizontal="left" vertical="center"/>
    </xf>
    <xf numFmtId="0" fontId="129" fillId="0" borderId="0" xfId="1" applyFont="1" applyAlignment="1">
      <alignment horizontal="left"/>
    </xf>
    <xf numFmtId="0" fontId="129" fillId="0" borderId="0" xfId="1" applyFont="1" applyAlignment="1">
      <alignment vertical="center"/>
    </xf>
    <xf numFmtId="0" fontId="116" fillId="0" borderId="0" xfId="1" applyFont="1" applyAlignment="1">
      <alignment horizontal="center" vertical="center"/>
    </xf>
    <xf numFmtId="0" fontId="116" fillId="0" borderId="47" xfId="1" applyFont="1" applyBorder="1" applyAlignment="1">
      <alignment horizontal="center" vertical="center"/>
    </xf>
    <xf numFmtId="0" fontId="116" fillId="0" borderId="49" xfId="1" applyFont="1" applyBorder="1" applyAlignment="1">
      <alignment horizontal="center" vertical="center"/>
    </xf>
    <xf numFmtId="0" fontId="116" fillId="0" borderId="13" xfId="1" applyFont="1" applyBorder="1" applyAlignment="1">
      <alignment horizontal="center" vertical="center"/>
    </xf>
    <xf numFmtId="0" fontId="116" fillId="0" borderId="0" xfId="1" applyFont="1" applyAlignment="1">
      <alignment vertical="center"/>
    </xf>
    <xf numFmtId="0" fontId="116" fillId="0" borderId="1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 shrinkToFit="1"/>
    </xf>
    <xf numFmtId="0" fontId="116" fillId="0" borderId="12" xfId="0" applyFont="1" applyBorder="1">
      <alignment vertical="center"/>
    </xf>
    <xf numFmtId="0" fontId="116" fillId="0" borderId="2" xfId="0" applyFont="1" applyBorder="1" applyAlignment="1">
      <alignment horizontal="center" vertical="center"/>
    </xf>
    <xf numFmtId="0" fontId="116" fillId="0" borderId="0" xfId="0" applyFont="1">
      <alignment vertical="center"/>
    </xf>
    <xf numFmtId="0" fontId="116" fillId="0" borderId="3" xfId="0" applyFont="1" applyBorder="1" applyAlignment="1">
      <alignment horizontal="center" vertical="center" shrinkToFit="1"/>
    </xf>
    <xf numFmtId="0" fontId="116" fillId="0" borderId="1" xfId="1" applyFont="1" applyBorder="1" applyAlignment="1">
      <alignment vertical="center"/>
    </xf>
    <xf numFmtId="0" fontId="116" fillId="0" borderId="3" xfId="0" applyFont="1" applyBorder="1" applyAlignment="1">
      <alignment horizontal="center" vertical="center"/>
    </xf>
    <xf numFmtId="0" fontId="116" fillId="0" borderId="3" xfId="0" applyFont="1" applyBorder="1">
      <alignment vertical="center"/>
    </xf>
    <xf numFmtId="183" fontId="116" fillId="0" borderId="3" xfId="0" applyNumberFormat="1" applyFont="1" applyBorder="1" applyAlignment="1">
      <alignment horizontal="center" vertical="center" shrinkToFit="1"/>
    </xf>
    <xf numFmtId="189" fontId="116" fillId="0" borderId="3" xfId="0" applyNumberFormat="1" applyFont="1" applyBorder="1" applyAlignment="1">
      <alignment horizontal="center" vertical="center"/>
    </xf>
    <xf numFmtId="184" fontId="116" fillId="0" borderId="0" xfId="1" applyNumberFormat="1" applyFont="1" applyAlignment="1">
      <alignment horizontal="center" vertical="center" shrinkToFit="1"/>
    </xf>
    <xf numFmtId="0" fontId="116" fillId="0" borderId="2" xfId="1" applyFont="1" applyBorder="1" applyAlignment="1">
      <alignment vertical="center" shrinkToFit="1"/>
    </xf>
    <xf numFmtId="0" fontId="116" fillId="0" borderId="49" xfId="1" applyFont="1" applyBorder="1" applyAlignment="1">
      <alignment vertical="center"/>
    </xf>
    <xf numFmtId="0" fontId="116" fillId="0" borderId="3" xfId="1" applyFont="1" applyBorder="1" applyAlignment="1">
      <alignment horizontal="center" vertical="center"/>
    </xf>
    <xf numFmtId="2" fontId="116" fillId="0" borderId="3" xfId="1" applyNumberFormat="1" applyFont="1" applyBorder="1" applyAlignment="1">
      <alignment horizontal="center" vertical="center"/>
    </xf>
    <xf numFmtId="0" fontId="116" fillId="0" borderId="50" xfId="1" applyFont="1" applyBorder="1" applyAlignment="1">
      <alignment horizontal="center" vertical="center"/>
    </xf>
    <xf numFmtId="0" fontId="116" fillId="0" borderId="2" xfId="1" applyFont="1" applyBorder="1" applyAlignment="1">
      <alignment horizontal="center" vertical="center"/>
    </xf>
    <xf numFmtId="183" fontId="116" fillId="0" borderId="2" xfId="1" applyNumberFormat="1" applyFont="1" applyBorder="1" applyAlignment="1">
      <alignment horizontal="center" vertical="center" shrinkToFit="1"/>
    </xf>
    <xf numFmtId="183" fontId="129" fillId="0" borderId="2" xfId="1" applyNumberFormat="1" applyFont="1" applyBorder="1" applyAlignment="1">
      <alignment horizontal="center" vertical="center" shrinkToFit="1"/>
    </xf>
    <xf numFmtId="0" fontId="116" fillId="0" borderId="2" xfId="1" applyFont="1" applyBorder="1" applyAlignment="1">
      <alignment horizontal="center" vertical="center" shrinkToFit="1"/>
    </xf>
    <xf numFmtId="0" fontId="116" fillId="0" borderId="2" xfId="1" applyFont="1" applyBorder="1" applyAlignment="1">
      <alignment vertical="center"/>
    </xf>
    <xf numFmtId="0" fontId="116" fillId="0" borderId="51" xfId="1" applyFont="1" applyBorder="1" applyAlignment="1">
      <alignment horizontal="center" vertical="center"/>
    </xf>
    <xf numFmtId="0" fontId="116" fillId="0" borderId="2" xfId="1" applyFont="1" applyBorder="1" applyAlignment="1">
      <alignment horizontal="right" vertical="center"/>
    </xf>
    <xf numFmtId="0" fontId="116" fillId="0" borderId="2" xfId="1" applyFont="1" applyBorder="1" applyAlignment="1">
      <alignment horizontal="left" vertical="center"/>
    </xf>
    <xf numFmtId="0" fontId="116" fillId="0" borderId="53" xfId="1" applyFont="1" applyBorder="1" applyAlignment="1">
      <alignment horizontal="center" vertical="center" shrinkToFit="1"/>
    </xf>
    <xf numFmtId="0" fontId="116" fillId="0" borderId="53" xfId="1" applyFont="1" applyBorder="1" applyAlignment="1">
      <alignment horizontal="center" vertical="center"/>
    </xf>
    <xf numFmtId="0" fontId="116" fillId="0" borderId="55" xfId="1" applyFont="1" applyBorder="1" applyAlignment="1">
      <alignment horizontal="center" vertical="center"/>
    </xf>
    <xf numFmtId="181" fontId="116" fillId="0" borderId="2" xfId="1" applyNumberFormat="1" applyFont="1" applyBorder="1" applyAlignment="1">
      <alignment vertical="center" shrinkToFit="1"/>
    </xf>
    <xf numFmtId="0" fontId="116" fillId="0" borderId="2" xfId="1" quotePrefix="1" applyFont="1" applyBorder="1" applyAlignment="1">
      <alignment vertical="center" shrinkToFit="1"/>
    </xf>
    <xf numFmtId="0" fontId="116" fillId="0" borderId="16" xfId="1" applyFont="1" applyBorder="1" applyAlignment="1">
      <alignment horizontal="center" vertical="center" shrinkToFit="1"/>
    </xf>
    <xf numFmtId="0" fontId="116" fillId="0" borderId="58" xfId="1" applyFont="1" applyBorder="1" applyAlignment="1">
      <alignment horizontal="center" vertical="center"/>
    </xf>
    <xf numFmtId="0" fontId="116" fillId="0" borderId="13" xfId="1" applyFont="1" applyBorder="1" applyAlignment="1">
      <alignment vertical="center"/>
    </xf>
    <xf numFmtId="0" fontId="116" fillId="0" borderId="52" xfId="1" applyFont="1" applyBorder="1" applyAlignment="1">
      <alignment vertical="center"/>
    </xf>
    <xf numFmtId="0" fontId="116" fillId="0" borderId="53" xfId="1" applyFont="1" applyBorder="1" applyAlignment="1">
      <alignment vertical="center"/>
    </xf>
    <xf numFmtId="0" fontId="116" fillId="0" borderId="55" xfId="1" applyFont="1" applyBorder="1" applyAlignment="1">
      <alignment vertical="center"/>
    </xf>
    <xf numFmtId="0" fontId="116" fillId="0" borderId="59" xfId="1" applyFont="1" applyBorder="1" applyAlignment="1">
      <alignment vertical="center"/>
    </xf>
    <xf numFmtId="0" fontId="116" fillId="0" borderId="60" xfId="1" applyFont="1" applyBorder="1" applyAlignment="1">
      <alignment vertical="center"/>
    </xf>
    <xf numFmtId="0" fontId="116" fillId="0" borderId="61" xfId="1" applyFont="1" applyBorder="1" applyAlignment="1">
      <alignment vertical="center"/>
    </xf>
    <xf numFmtId="0" fontId="116" fillId="0" borderId="41" xfId="1" applyFont="1" applyBorder="1" applyAlignment="1">
      <alignment vertical="center"/>
    </xf>
    <xf numFmtId="0" fontId="116" fillId="0" borderId="16" xfId="1" applyFont="1" applyBorder="1" applyAlignment="1">
      <alignment vertical="center"/>
    </xf>
    <xf numFmtId="0" fontId="116" fillId="0" borderId="58" xfId="1" applyFont="1" applyBorder="1" applyAlignment="1">
      <alignment vertical="center"/>
    </xf>
    <xf numFmtId="177" fontId="132" fillId="0" borderId="48" xfId="1" applyNumberFormat="1" applyFont="1" applyBorder="1" applyAlignment="1">
      <alignment vertical="center"/>
    </xf>
    <xf numFmtId="0" fontId="116" fillId="0" borderId="63" xfId="1" applyFont="1" applyBorder="1" applyAlignment="1">
      <alignment horizontal="center" vertical="center"/>
    </xf>
    <xf numFmtId="177" fontId="116" fillId="0" borderId="0" xfId="1" applyNumberFormat="1" applyFont="1" applyAlignment="1">
      <alignment horizontal="center" vertical="center" shrinkToFit="1"/>
    </xf>
    <xf numFmtId="0" fontId="116" fillId="0" borderId="0" xfId="1" applyFont="1" applyAlignment="1">
      <alignment vertical="center" shrinkToFit="1"/>
    </xf>
    <xf numFmtId="0" fontId="116" fillId="0" borderId="35" xfId="1" applyFont="1" applyBorder="1" applyAlignment="1">
      <alignment vertical="center"/>
    </xf>
    <xf numFmtId="0" fontId="116" fillId="0" borderId="3" xfId="1" applyFont="1" applyBorder="1" applyAlignment="1">
      <alignment vertical="center"/>
    </xf>
    <xf numFmtId="0" fontId="116" fillId="0" borderId="3" xfId="1" applyFont="1" applyBorder="1" applyAlignment="1">
      <alignment vertical="center" shrinkToFit="1"/>
    </xf>
    <xf numFmtId="0" fontId="116" fillId="0" borderId="4" xfId="1" quotePrefix="1" applyFont="1" applyBorder="1" applyAlignment="1">
      <alignment horizontal="center" vertical="center" shrinkToFit="1"/>
    </xf>
    <xf numFmtId="0" fontId="116" fillId="0" borderId="57" xfId="1" applyFont="1" applyBorder="1" applyAlignment="1">
      <alignment vertical="center"/>
    </xf>
    <xf numFmtId="177" fontId="129" fillId="0" borderId="0" xfId="1" applyNumberFormat="1" applyFont="1" applyAlignment="1">
      <alignment vertical="center" shrinkToFit="1"/>
    </xf>
    <xf numFmtId="177" fontId="116" fillId="0" borderId="2" xfId="1" applyNumberFormat="1" applyFont="1" applyBorder="1" applyAlignment="1">
      <alignment vertical="center" shrinkToFit="1"/>
    </xf>
    <xf numFmtId="0" fontId="116" fillId="0" borderId="2" xfId="1" quotePrefix="1" applyFont="1" applyBorder="1" applyAlignment="1">
      <alignment horizontal="center" vertical="center"/>
    </xf>
    <xf numFmtId="0" fontId="116" fillId="0" borderId="16" xfId="1" quotePrefix="1" applyFont="1" applyBorder="1" applyAlignment="1">
      <alignment horizontal="center" vertical="center"/>
    </xf>
    <xf numFmtId="0" fontId="116" fillId="0" borderId="13" xfId="1" applyFont="1" applyBorder="1" applyAlignment="1">
      <alignment horizontal="left" vertical="center"/>
    </xf>
    <xf numFmtId="0" fontId="116" fillId="0" borderId="4" xfId="1" applyFont="1" applyBorder="1" applyAlignment="1">
      <alignment vertical="center"/>
    </xf>
    <xf numFmtId="183" fontId="116" fillId="0" borderId="3" xfId="1" applyNumberFormat="1" applyFont="1" applyBorder="1" applyAlignment="1">
      <alignment vertical="center" shrinkToFit="1"/>
    </xf>
    <xf numFmtId="177" fontId="116" fillId="0" borderId="3" xfId="1" applyNumberFormat="1" applyFont="1" applyBorder="1" applyAlignment="1">
      <alignment horizontal="center" vertical="center" shrinkToFit="1"/>
    </xf>
    <xf numFmtId="0" fontId="116" fillId="0" borderId="4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 shrinkToFit="1"/>
    </xf>
    <xf numFmtId="0" fontId="116" fillId="0" borderId="4" xfId="1" applyFont="1" applyBorder="1" applyAlignment="1">
      <alignment horizontal="center" vertical="center" shrinkToFit="1"/>
    </xf>
    <xf numFmtId="0" fontId="129" fillId="0" borderId="13" xfId="1" applyFont="1" applyBorder="1" applyAlignment="1">
      <alignment horizontal="center" vertical="center"/>
    </xf>
    <xf numFmtId="0" fontId="116" fillId="0" borderId="57" xfId="1" applyFont="1" applyBorder="1" applyAlignment="1">
      <alignment horizontal="center" vertical="center"/>
    </xf>
    <xf numFmtId="0" fontId="116" fillId="0" borderId="16" xfId="1" applyFont="1" applyBorder="1" applyAlignment="1">
      <alignment horizontal="center" vertical="center"/>
    </xf>
    <xf numFmtId="0" fontId="116" fillId="0" borderId="48" xfId="1" applyFont="1" applyBorder="1" applyAlignment="1">
      <alignment horizontal="center" vertical="center"/>
    </xf>
    <xf numFmtId="183" fontId="116" fillId="0" borderId="3" xfId="1" applyNumberFormat="1" applyFont="1" applyBorder="1" applyAlignment="1">
      <alignment horizontal="center" vertical="center" shrinkToFit="1"/>
    </xf>
    <xf numFmtId="183" fontId="116" fillId="0" borderId="0" xfId="1" applyNumberFormat="1" applyFont="1" applyAlignment="1">
      <alignment horizontal="center" vertical="center" shrinkToFit="1"/>
    </xf>
    <xf numFmtId="0" fontId="142" fillId="0" borderId="108" xfId="1" applyFont="1" applyBorder="1" applyAlignment="1">
      <alignment vertical="center"/>
    </xf>
    <xf numFmtId="0" fontId="142" fillId="0" borderId="32" xfId="1" applyFont="1" applyBorder="1" applyAlignment="1">
      <alignment vertical="center"/>
    </xf>
    <xf numFmtId="0" fontId="142" fillId="0" borderId="109" xfId="1" applyFont="1" applyBorder="1" applyAlignment="1">
      <alignment vertical="center"/>
    </xf>
    <xf numFmtId="0" fontId="142" fillId="0" borderId="13" xfId="1" applyFont="1" applyBorder="1" applyAlignment="1">
      <alignment horizontal="center" vertical="center"/>
    </xf>
    <xf numFmtId="0" fontId="142" fillId="0" borderId="49" xfId="1" applyFont="1" applyBorder="1" applyAlignment="1">
      <alignment horizontal="center" vertical="center"/>
    </xf>
    <xf numFmtId="0" fontId="129" fillId="0" borderId="49" xfId="1" applyFont="1" applyBorder="1" applyAlignment="1">
      <alignment horizontal="center" vertical="center"/>
    </xf>
    <xf numFmtId="0" fontId="129" fillId="0" borderId="13" xfId="1" applyFont="1" applyBorder="1" applyAlignment="1">
      <alignment vertical="center"/>
    </xf>
    <xf numFmtId="177" fontId="59" fillId="0" borderId="0" xfId="1" applyNumberFormat="1" applyFont="1" applyAlignment="1">
      <alignment vertical="center"/>
    </xf>
    <xf numFmtId="176" fontId="52" fillId="0" borderId="0" xfId="1" applyNumberFormat="1" applyFont="1" applyAlignment="1">
      <alignment vertical="center"/>
    </xf>
    <xf numFmtId="49" fontId="129" fillId="0" borderId="0" xfId="3" applyNumberFormat="1" applyFont="1" applyAlignment="1">
      <alignment horizontal="center" vertical="center"/>
    </xf>
    <xf numFmtId="49" fontId="133" fillId="0" borderId="5" xfId="0" applyNumberFormat="1" applyFont="1" applyBorder="1" applyAlignment="1">
      <alignment horizontal="center" vertical="center"/>
    </xf>
    <xf numFmtId="0" fontId="133" fillId="0" borderId="5" xfId="0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/>
    </xf>
    <xf numFmtId="0" fontId="76" fillId="0" borderId="9" xfId="0" applyFont="1" applyBorder="1" applyAlignment="1">
      <alignment horizontal="center" vertical="center"/>
    </xf>
    <xf numFmtId="0" fontId="149" fillId="0" borderId="0" xfId="3" applyFont="1">
      <alignment vertical="center"/>
    </xf>
    <xf numFmtId="0" fontId="148" fillId="0" borderId="0" xfId="0" applyFont="1" applyAlignment="1">
      <alignment vertical="center" wrapText="1"/>
    </xf>
    <xf numFmtId="0" fontId="148" fillId="0" borderId="129" xfId="0" applyFont="1" applyBorder="1" applyAlignment="1">
      <alignment vertical="center" wrapText="1"/>
    </xf>
    <xf numFmtId="0" fontId="128" fillId="0" borderId="10" xfId="3" applyFont="1" applyBorder="1" applyAlignment="1">
      <alignment horizontal="center" vertical="center" shrinkToFit="1"/>
    </xf>
    <xf numFmtId="179" fontId="78" fillId="0" borderId="6" xfId="3" applyNumberFormat="1" applyFont="1" applyBorder="1" applyAlignment="1">
      <alignment horizontal="center" vertical="center" shrinkToFit="1"/>
    </xf>
    <xf numFmtId="179" fontId="78" fillId="0" borderId="7" xfId="3" applyNumberFormat="1" applyFont="1" applyBorder="1" applyAlignment="1">
      <alignment horizontal="center" vertical="center" shrinkToFit="1"/>
    </xf>
    <xf numFmtId="179" fontId="78" fillId="0" borderId="39" xfId="3" applyNumberFormat="1" applyFont="1" applyBorder="1" applyAlignment="1">
      <alignment vertical="center" shrinkToFit="1"/>
    </xf>
    <xf numFmtId="179" fontId="78" fillId="0" borderId="4" xfId="3" applyNumberFormat="1" applyFont="1" applyBorder="1" applyAlignment="1">
      <alignment vertical="center" shrinkToFit="1"/>
    </xf>
    <xf numFmtId="182" fontId="78" fillId="0" borderId="39" xfId="3" applyNumberFormat="1" applyFont="1" applyBorder="1" applyAlignment="1">
      <alignment horizontal="center" vertical="center" shrinkToFit="1"/>
    </xf>
    <xf numFmtId="0" fontId="129" fillId="0" borderId="0" xfId="3" applyFont="1" applyAlignment="1">
      <alignment vertical="center" shrinkToFit="1"/>
    </xf>
    <xf numFmtId="0" fontId="102" fillId="0" borderId="57" xfId="0" applyFont="1" applyBorder="1">
      <alignment vertical="center"/>
    </xf>
    <xf numFmtId="0" fontId="1" fillId="0" borderId="0" xfId="0" applyFont="1">
      <alignment vertical="center"/>
    </xf>
    <xf numFmtId="179" fontId="78" fillId="0" borderId="7" xfId="3" applyNumberFormat="1" applyFont="1" applyBorder="1" applyAlignment="1">
      <alignment horizontal="left" vertical="center" shrinkToFit="1"/>
    </xf>
    <xf numFmtId="0" fontId="116" fillId="0" borderId="13" xfId="3" applyFont="1" applyBorder="1" applyAlignment="1">
      <alignment horizontal="left" vertical="center"/>
    </xf>
    <xf numFmtId="0" fontId="141" fillId="0" borderId="0" xfId="3" applyFont="1">
      <alignment vertical="center"/>
    </xf>
    <xf numFmtId="0" fontId="116" fillId="0" borderId="0" xfId="3" applyFont="1" applyAlignment="1">
      <alignment horizontal="left" vertical="center" shrinkToFit="1"/>
    </xf>
    <xf numFmtId="0" fontId="116" fillId="0" borderId="49" xfId="3" applyFont="1" applyBorder="1" applyAlignment="1">
      <alignment horizontal="left" vertical="center" shrinkToFit="1"/>
    </xf>
    <xf numFmtId="0" fontId="100" fillId="0" borderId="49" xfId="0" applyFont="1" applyBorder="1" applyAlignment="1">
      <alignment vertical="center" wrapText="1"/>
    </xf>
    <xf numFmtId="0" fontId="66" fillId="19" borderId="5" xfId="0" applyFont="1" applyFill="1" applyBorder="1" applyAlignment="1" applyProtection="1">
      <alignment horizontal="center" vertical="center"/>
      <protection locked="0"/>
    </xf>
    <xf numFmtId="0" fontId="65" fillId="16" borderId="5" xfId="0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181" fontId="77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3" fontId="65" fillId="15" borderId="5" xfId="0" applyNumberFormat="1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0" fontId="57" fillId="15" borderId="5" xfId="1" applyFont="1" applyFill="1" applyBorder="1" applyAlignment="1" applyProtection="1">
      <alignment horizontal="center" vertical="center" shrinkToFit="1"/>
      <protection locked="0"/>
    </xf>
    <xf numFmtId="0" fontId="65" fillId="16" borderId="6" xfId="0" applyFont="1" applyFill="1" applyBorder="1" applyAlignment="1" applyProtection="1">
      <alignment horizontal="center" vertical="center"/>
      <protection locked="0"/>
    </xf>
    <xf numFmtId="0" fontId="66" fillId="16" borderId="5" xfId="0" applyFont="1" applyFill="1" applyBorder="1" applyAlignment="1" applyProtection="1">
      <alignment horizontal="center" vertical="center"/>
      <protection locked="0"/>
    </xf>
    <xf numFmtId="0" fontId="65" fillId="16" borderId="80" xfId="0" applyFont="1" applyFill="1" applyBorder="1" applyAlignment="1" applyProtection="1">
      <alignment horizontal="center" vertical="center"/>
      <protection locked="0"/>
    </xf>
    <xf numFmtId="0" fontId="59" fillId="0" borderId="0" xfId="3" applyFont="1">
      <alignment vertical="center"/>
    </xf>
    <xf numFmtId="0" fontId="132" fillId="0" borderId="87" xfId="3" applyFont="1" applyBorder="1" applyAlignment="1">
      <alignment horizontal="centerContinuous" vertical="center"/>
    </xf>
    <xf numFmtId="0" fontId="132" fillId="0" borderId="114" xfId="3" applyFont="1" applyBorder="1" applyAlignment="1">
      <alignment horizontal="centerContinuous" vertical="center"/>
    </xf>
    <xf numFmtId="0" fontId="132" fillId="0" borderId="138" xfId="3" applyFont="1" applyBorder="1" applyAlignment="1">
      <alignment horizontal="centerContinuous" vertical="center"/>
    </xf>
    <xf numFmtId="0" fontId="132" fillId="0" borderId="115" xfId="3" applyFont="1" applyBorder="1" applyAlignment="1">
      <alignment horizontal="centerContinuous" vertical="center"/>
    </xf>
    <xf numFmtId="0" fontId="57" fillId="16" borderId="5" xfId="1" applyFont="1" applyFill="1" applyBorder="1" applyAlignment="1" applyProtection="1">
      <alignment horizontal="center" vertical="center" shrinkToFit="1"/>
      <protection locked="0"/>
    </xf>
    <xf numFmtId="0" fontId="59" fillId="17" borderId="5" xfId="0" applyFont="1" applyFill="1" applyBorder="1" applyProtection="1">
      <alignment vertical="center"/>
      <protection locked="0"/>
    </xf>
    <xf numFmtId="190" fontId="57" fillId="0" borderId="3" xfId="0" applyNumberFormat="1" applyFont="1" applyBorder="1" applyProtection="1">
      <alignment vertical="center"/>
      <protection locked="0"/>
    </xf>
    <xf numFmtId="183" fontId="54" fillId="17" borderId="5" xfId="0" applyNumberFormat="1" applyFont="1" applyFill="1" applyBorder="1" applyAlignment="1">
      <alignment horizontal="center" vertical="center"/>
    </xf>
    <xf numFmtId="200" fontId="55" fillId="17" borderId="12" xfId="0" applyNumberFormat="1" applyFont="1" applyFill="1" applyBorder="1" applyAlignment="1">
      <alignment horizontal="center" vertical="center"/>
    </xf>
    <xf numFmtId="200" fontId="55" fillId="17" borderId="5" xfId="0" applyNumberFormat="1" applyFont="1" applyFill="1" applyBorder="1" applyAlignment="1">
      <alignment horizontal="center" vertical="center"/>
    </xf>
    <xf numFmtId="191" fontId="57" fillId="17" borderId="5" xfId="0" applyNumberFormat="1" applyFont="1" applyFill="1" applyBorder="1">
      <alignment vertical="center"/>
    </xf>
    <xf numFmtId="0" fontId="57" fillId="17" borderId="5" xfId="0" applyFont="1" applyFill="1" applyBorder="1" applyAlignment="1">
      <alignment horizontal="center" vertical="center"/>
    </xf>
    <xf numFmtId="2" fontId="57" fillId="17" borderId="5" xfId="0" applyNumberFormat="1" applyFont="1" applyFill="1" applyBorder="1" applyAlignment="1">
      <alignment horizontal="center" vertical="center"/>
    </xf>
    <xf numFmtId="2" fontId="57" fillId="17" borderId="5" xfId="0" applyNumberFormat="1" applyFont="1" applyFill="1" applyBorder="1">
      <alignment vertical="center"/>
    </xf>
    <xf numFmtId="0" fontId="61" fillId="0" borderId="0" xfId="1" applyFont="1" applyAlignment="1" applyProtection="1">
      <alignment shrinkToFit="1"/>
      <protection locked="0"/>
    </xf>
    <xf numFmtId="0" fontId="54" fillId="0" borderId="0" xfId="1" applyFont="1" applyProtection="1">
      <protection locked="0"/>
    </xf>
    <xf numFmtId="0" fontId="60" fillId="0" borderId="0" xfId="1" applyFont="1" applyAlignment="1" applyProtection="1">
      <alignment horizontal="center" vertical="center" shrinkToFit="1"/>
      <protection locked="0"/>
    </xf>
    <xf numFmtId="203" fontId="60" fillId="0" borderId="94" xfId="1" applyNumberFormat="1" applyFont="1" applyBorder="1" applyAlignment="1" applyProtection="1">
      <alignment horizontal="center" vertical="center" shrinkToFit="1"/>
      <protection locked="0"/>
    </xf>
    <xf numFmtId="0" fontId="52" fillId="0" borderId="73" xfId="1" applyFont="1" applyBorder="1" applyAlignment="1" applyProtection="1">
      <alignment horizontal="center" vertical="center" shrinkToFit="1"/>
      <protection locked="0"/>
    </xf>
    <xf numFmtId="191" fontId="52" fillId="0" borderId="71" xfId="1" applyNumberFormat="1" applyFont="1" applyBorder="1" applyAlignment="1" applyProtection="1">
      <alignment horizontal="center" vertical="center" shrinkToFit="1"/>
      <protection locked="0"/>
    </xf>
    <xf numFmtId="0" fontId="52" fillId="0" borderId="0" xfId="1" applyFont="1" applyAlignment="1" applyProtection="1">
      <alignment shrinkToFit="1"/>
      <protection locked="0"/>
    </xf>
    <xf numFmtId="0" fontId="52" fillId="0" borderId="17" xfId="1" applyFont="1" applyBorder="1" applyAlignment="1" applyProtection="1">
      <alignment vertical="center" shrinkToFit="1"/>
      <protection locked="0"/>
    </xf>
    <xf numFmtId="0" fontId="52" fillId="0" borderId="5" xfId="1" applyFont="1" applyBorder="1" applyAlignment="1" applyProtection="1">
      <alignment vertical="center" shrinkToFit="1"/>
      <protection locked="0"/>
    </xf>
    <xf numFmtId="49" fontId="52" fillId="0" borderId="5" xfId="1" applyNumberFormat="1" applyFont="1" applyBorder="1" applyAlignment="1" applyProtection="1">
      <alignment horizontal="center" vertical="center" shrinkToFit="1"/>
      <protection locked="0"/>
    </xf>
    <xf numFmtId="191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Protection="1">
      <alignment vertical="center"/>
      <protection locked="0"/>
    </xf>
    <xf numFmtId="0" fontId="52" fillId="0" borderId="27" xfId="1" applyFont="1" applyBorder="1" applyAlignment="1" applyProtection="1">
      <alignment vertical="center" shrinkToFit="1"/>
      <protection locked="0"/>
    </xf>
    <xf numFmtId="189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Alignment="1" applyProtection="1">
      <alignment horizontal="center" vertical="center"/>
      <protection locked="0"/>
    </xf>
    <xf numFmtId="0" fontId="129" fillId="0" borderId="113" xfId="3" applyFont="1" applyBorder="1" applyProtection="1">
      <alignment vertical="center"/>
      <protection locked="0"/>
    </xf>
    <xf numFmtId="0" fontId="52" fillId="0" borderId="6" xfId="1" applyFont="1" applyBorder="1" applyAlignment="1" applyProtection="1">
      <alignment horizontal="right" vertical="center"/>
      <protection locked="0"/>
    </xf>
    <xf numFmtId="192" fontId="52" fillId="0" borderId="4" xfId="1" applyNumberFormat="1" applyFont="1" applyBorder="1" applyAlignment="1" applyProtection="1">
      <alignment vertical="center"/>
      <protection locked="0"/>
    </xf>
    <xf numFmtId="0" fontId="52" fillId="0" borderId="4" xfId="1" applyFont="1" applyBorder="1" applyAlignment="1" applyProtection="1">
      <alignment horizontal="center" vertical="center" shrinkToFit="1"/>
      <protection locked="0"/>
    </xf>
    <xf numFmtId="0" fontId="52" fillId="0" borderId="4" xfId="1" applyFont="1" applyBorder="1" applyAlignment="1" applyProtection="1">
      <alignment horizontal="left" vertical="center"/>
      <protection locked="0"/>
    </xf>
    <xf numFmtId="192" fontId="52" fillId="0" borderId="7" xfId="1" applyNumberFormat="1" applyFont="1" applyBorder="1" applyAlignment="1" applyProtection="1">
      <alignment horizontal="left" vertical="center"/>
      <protection locked="0"/>
    </xf>
    <xf numFmtId="0" fontId="52" fillId="0" borderId="18" xfId="1" applyFont="1" applyBorder="1" applyAlignment="1" applyProtection="1">
      <alignment horizontal="center" vertical="center" shrinkToFit="1"/>
      <protection locked="0"/>
    </xf>
    <xf numFmtId="0" fontId="52" fillId="0" borderId="18" xfId="1" applyFont="1" applyBorder="1" applyAlignment="1" applyProtection="1">
      <alignment vertical="center" shrinkToFit="1"/>
      <protection locked="0"/>
    </xf>
    <xf numFmtId="0" fontId="52" fillId="0" borderId="6" xfId="1" applyFont="1" applyBorder="1" applyAlignment="1" applyProtection="1">
      <alignment horizontal="center" vertical="center" shrinkToFit="1"/>
      <protection locked="0"/>
    </xf>
    <xf numFmtId="0" fontId="129" fillId="0" borderId="121" xfId="3" applyFont="1" applyBorder="1" applyProtection="1">
      <alignment vertical="center"/>
      <protection locked="0"/>
    </xf>
    <xf numFmtId="0" fontId="52" fillId="0" borderId="34" xfId="1" applyFont="1" applyBorder="1" applyAlignment="1" applyProtection="1">
      <alignment vertical="center" shrinkToFit="1"/>
      <protection locked="0"/>
    </xf>
    <xf numFmtId="183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vertical="center"/>
      <protection locked="0"/>
    </xf>
    <xf numFmtId="0" fontId="54" fillId="0" borderId="4" xfId="1" applyFont="1" applyBorder="1" applyAlignment="1" applyProtection="1">
      <alignment vertical="center"/>
      <protection locked="0"/>
    </xf>
    <xf numFmtId="0" fontId="52" fillId="0" borderId="4" xfId="1" applyFont="1" applyBorder="1" applyAlignment="1" applyProtection="1">
      <alignment vertical="center" shrinkToFit="1"/>
      <protection locked="0"/>
    </xf>
    <xf numFmtId="2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7" fillId="0" borderId="35" xfId="1" applyFont="1" applyBorder="1" applyAlignment="1" applyProtection="1">
      <alignment horizontal="left" vertical="center" wrapText="1" indent="1" shrinkToFit="1"/>
      <protection locked="0"/>
    </xf>
    <xf numFmtId="0" fontId="57" fillId="0" borderId="2" xfId="1" applyFont="1" applyBorder="1" applyAlignment="1" applyProtection="1">
      <alignment horizontal="left" vertical="center" wrapText="1" indent="1" shrinkToFit="1"/>
      <protection locked="0"/>
    </xf>
    <xf numFmtId="0" fontId="57" fillId="0" borderId="51" xfId="1" applyFont="1" applyBorder="1" applyAlignment="1" applyProtection="1">
      <alignment horizontal="left" vertical="center" wrapText="1" indent="1" shrinkToFit="1"/>
      <protection locked="0"/>
    </xf>
    <xf numFmtId="0" fontId="52" fillId="0" borderId="8" xfId="1" applyFont="1" applyBorder="1" applyAlignment="1" applyProtection="1">
      <alignment horizontal="center" vertical="center" wrapText="1" shrinkToFit="1"/>
      <protection locked="0"/>
    </xf>
    <xf numFmtId="2" fontId="52" fillId="0" borderId="29" xfId="1" applyNumberFormat="1" applyFont="1" applyBorder="1" applyAlignment="1" applyProtection="1">
      <alignment horizontal="center" vertical="center" wrapText="1" shrinkToFit="1"/>
      <protection locked="0"/>
    </xf>
    <xf numFmtId="0" fontId="52" fillId="0" borderId="5" xfId="1" applyFont="1" applyBorder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 wrapText="1" shrinkToFit="1"/>
      <protection locked="0"/>
    </xf>
    <xf numFmtId="0" fontId="52" fillId="0" borderId="6" xfId="1" applyFont="1" applyBorder="1" applyAlignment="1" applyProtection="1">
      <alignment horizontal="center" vertical="center" wrapText="1" shrinkToFit="1"/>
      <protection locked="0"/>
    </xf>
    <xf numFmtId="0" fontId="52" fillId="0" borderId="39" xfId="1" applyFont="1" applyBorder="1" applyAlignment="1" applyProtection="1">
      <alignment horizontal="center" vertical="center" wrapText="1" shrinkToFit="1"/>
      <protection locked="0"/>
    </xf>
    <xf numFmtId="184" fontId="52" fillId="0" borderId="18" xfId="1" applyNumberFormat="1" applyFont="1" applyBorder="1" applyAlignment="1" applyProtection="1">
      <alignment horizontal="center" vertical="center" shrinkToFit="1"/>
      <protection locked="0"/>
    </xf>
    <xf numFmtId="177" fontId="52" fillId="0" borderId="6" xfId="1" applyNumberFormat="1" applyFont="1" applyBorder="1" applyAlignment="1" applyProtection="1">
      <alignment horizontal="center" vertical="center" shrinkToFit="1"/>
      <protection locked="0"/>
    </xf>
    <xf numFmtId="177" fontId="52" fillId="0" borderId="39" xfId="1" applyNumberFormat="1" applyFont="1" applyBorder="1" applyAlignment="1" applyProtection="1">
      <alignment horizontal="center" vertical="center" shrinkToFit="1"/>
      <protection locked="0"/>
    </xf>
    <xf numFmtId="184" fontId="52" fillId="0" borderId="5" xfId="1" applyNumberFormat="1" applyFont="1" applyBorder="1" applyAlignment="1" applyProtection="1">
      <alignment horizontal="center" vertical="center" shrinkToFit="1"/>
      <protection locked="0"/>
    </xf>
    <xf numFmtId="184" fontId="94" fillId="22" borderId="5" xfId="1" applyNumberFormat="1" applyFont="1" applyFill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 shrinkToFit="1"/>
      <protection locked="0"/>
    </xf>
    <xf numFmtId="2" fontId="52" fillId="0" borderId="39" xfId="1" applyNumberFormat="1" applyFont="1" applyBorder="1" applyAlignment="1" applyProtection="1">
      <alignment horizontal="center" vertical="center" shrinkToFit="1"/>
      <protection locked="0"/>
    </xf>
    <xf numFmtId="183" fontId="52" fillId="0" borderId="6" xfId="1" applyNumberFormat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/>
      <protection locked="0"/>
    </xf>
    <xf numFmtId="0" fontId="52" fillId="0" borderId="39" xfId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 vertical="center"/>
      <protection locked="0"/>
    </xf>
    <xf numFmtId="0" fontId="52" fillId="0" borderId="39" xfId="1" applyFont="1" applyBorder="1" applyAlignment="1" applyProtection="1">
      <alignment vertical="center" shrinkToFit="1"/>
      <protection locked="0"/>
    </xf>
    <xf numFmtId="0" fontId="54" fillId="0" borderId="1" xfId="1" applyFont="1" applyBorder="1" applyProtection="1">
      <protection locked="0"/>
    </xf>
    <xf numFmtId="0" fontId="54" fillId="0" borderId="49" xfId="1" applyFont="1" applyBorder="1" applyProtection="1">
      <protection locked="0"/>
    </xf>
    <xf numFmtId="0" fontId="54" fillId="0" borderId="72" xfId="1" applyFont="1" applyBorder="1" applyProtection="1">
      <protection locked="0"/>
    </xf>
    <xf numFmtId="0" fontId="54" fillId="0" borderId="58" xfId="1" applyFont="1" applyBorder="1" applyProtection="1">
      <protection locked="0"/>
    </xf>
    <xf numFmtId="0" fontId="54" fillId="0" borderId="0" xfId="1" applyFont="1" applyAlignment="1" applyProtection="1">
      <alignment vertical="center"/>
      <protection locked="0"/>
    </xf>
    <xf numFmtId="0" fontId="56" fillId="0" borderId="0" xfId="1" applyFont="1" applyProtection="1">
      <protection locked="0"/>
    </xf>
    <xf numFmtId="191" fontId="54" fillId="0" borderId="0" xfId="1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41" fillId="0" borderId="9" xfId="1" applyFont="1" applyBorder="1" applyAlignment="1" applyProtection="1">
      <alignment horizontal="left" vertical="center" wrapText="1" indent="1" shrinkToFit="1"/>
      <protection locked="0"/>
    </xf>
    <xf numFmtId="0" fontId="141" fillId="0" borderId="2" xfId="1" applyFont="1" applyBorder="1" applyAlignment="1" applyProtection="1">
      <alignment horizontal="left" vertical="center" wrapText="1" indent="1" shrinkToFit="1"/>
      <protection locked="0"/>
    </xf>
    <xf numFmtId="184" fontId="158" fillId="22" borderId="5" xfId="1" applyNumberFormat="1" applyFont="1" applyFill="1" applyBorder="1" applyAlignment="1" applyProtection="1">
      <alignment horizontal="center" vertical="center" shrinkToFit="1"/>
      <protection locked="0"/>
    </xf>
    <xf numFmtId="2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vertical="center" shrinkToFit="1"/>
      <protection locked="0"/>
    </xf>
    <xf numFmtId="0" fontId="116" fillId="0" borderId="5" xfId="1" applyFont="1" applyBorder="1" applyAlignment="1" applyProtection="1">
      <alignment vertical="center" shrinkToFit="1"/>
      <protection locked="0"/>
    </xf>
    <xf numFmtId="0" fontId="129" fillId="8" borderId="1" xfId="1" applyFont="1" applyFill="1" applyBorder="1" applyProtection="1">
      <protection locked="0"/>
    </xf>
    <xf numFmtId="0" fontId="129" fillId="8" borderId="12" xfId="1" applyFont="1" applyFill="1" applyBorder="1" applyProtection="1">
      <protection locked="0"/>
    </xf>
    <xf numFmtId="0" fontId="116" fillId="0" borderId="6" xfId="1" applyFont="1" applyBorder="1" applyAlignment="1" applyProtection="1">
      <alignment horizontal="left" vertical="center"/>
      <protection locked="0"/>
    </xf>
    <xf numFmtId="0" fontId="142" fillId="0" borderId="4" xfId="1" applyFont="1" applyBorder="1" applyAlignment="1" applyProtection="1">
      <alignment horizontal="center" vertical="center" shrinkToFit="1"/>
      <protection locked="0"/>
    </xf>
    <xf numFmtId="203" fontId="116" fillId="0" borderId="4" xfId="1" applyNumberFormat="1" applyFont="1" applyBorder="1" applyAlignment="1" applyProtection="1">
      <alignment horizontal="centerContinuous" vertical="center"/>
      <protection locked="0"/>
    </xf>
    <xf numFmtId="203" fontId="116" fillId="0" borderId="7" xfId="1" applyNumberFormat="1" applyFont="1" applyBorder="1" applyAlignment="1" applyProtection="1">
      <alignment horizontal="centerContinuous" vertical="center"/>
      <protection locked="0"/>
    </xf>
    <xf numFmtId="0" fontId="116" fillId="0" borderId="17" xfId="1" applyFont="1" applyBorder="1" applyAlignment="1" applyProtection="1">
      <alignment vertical="center" shrinkToFit="1"/>
      <protection locked="0"/>
    </xf>
    <xf numFmtId="49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27" xfId="1" applyFont="1" applyBorder="1" applyAlignment="1" applyProtection="1">
      <alignment vertical="center" shrinkToFit="1"/>
      <protection locked="0"/>
    </xf>
    <xf numFmtId="0" fontId="116" fillId="0" borderId="18" xfId="1" applyFont="1" applyBorder="1" applyAlignment="1" applyProtection="1">
      <alignment horizontal="center" vertical="center" shrinkToFit="1"/>
      <protection locked="0"/>
    </xf>
    <xf numFmtId="0" fontId="116" fillId="0" borderId="18" xfId="1" applyFont="1" applyBorder="1" applyAlignment="1" applyProtection="1">
      <alignment vertical="center" shrinkToFit="1"/>
      <protection locked="0"/>
    </xf>
    <xf numFmtId="203" fontId="128" fillId="8" borderId="6" xfId="1" applyNumberFormat="1" applyFont="1" applyFill="1" applyBorder="1" applyAlignment="1" applyProtection="1">
      <alignment horizontal="centerContinuous" vertical="center" shrinkToFit="1"/>
      <protection locked="0"/>
    </xf>
    <xf numFmtId="0" fontId="116" fillId="8" borderId="7" xfId="1" applyFont="1" applyFill="1" applyBorder="1" applyAlignment="1" applyProtection="1">
      <alignment horizontal="centerContinuous" vertical="center" shrinkToFit="1"/>
      <protection locked="0"/>
    </xf>
    <xf numFmtId="0" fontId="12" fillId="0" borderId="4" xfId="3" applyFont="1" applyBorder="1" applyAlignment="1">
      <alignment horizontal="left" vertical="center"/>
    </xf>
    <xf numFmtId="0" fontId="12" fillId="0" borderId="4" xfId="3" applyFont="1" applyBorder="1">
      <alignment vertical="center"/>
    </xf>
    <xf numFmtId="0" fontId="160" fillId="0" borderId="5" xfId="1" applyFont="1" applyBorder="1" applyAlignment="1" applyProtection="1">
      <alignment horizontal="center" vertical="center" wrapText="1" shrinkToFit="1"/>
      <protection locked="0"/>
    </xf>
    <xf numFmtId="0" fontId="129" fillId="0" borderId="116" xfId="3" applyFont="1" applyBorder="1" applyAlignment="1" applyProtection="1">
      <alignment horizontal="center" vertical="center"/>
      <protection locked="0"/>
    </xf>
    <xf numFmtId="0" fontId="129" fillId="0" borderId="117" xfId="3" applyFont="1" applyBorder="1" applyAlignment="1" applyProtection="1">
      <alignment horizontal="center" vertical="center"/>
      <protection locked="0"/>
    </xf>
    <xf numFmtId="0" fontId="129" fillId="0" borderId="118" xfId="3" applyFont="1" applyBorder="1" applyAlignment="1" applyProtection="1">
      <alignment horizontal="center" vertical="center"/>
      <protection locked="0"/>
    </xf>
    <xf numFmtId="0" fontId="129" fillId="0" borderId="119" xfId="3" applyFont="1" applyBorder="1" applyAlignment="1" applyProtection="1">
      <alignment horizontal="center" vertical="center"/>
      <protection locked="0"/>
    </xf>
    <xf numFmtId="0" fontId="155" fillId="8" borderId="0" xfId="0" applyFont="1" applyFill="1">
      <alignment vertical="center"/>
    </xf>
    <xf numFmtId="0" fontId="155" fillId="8" borderId="0" xfId="0" applyFont="1" applyFill="1" applyAlignment="1">
      <alignment horizontal="center" vertical="center"/>
    </xf>
    <xf numFmtId="0" fontId="0" fillId="8" borderId="0" xfId="0" applyFill="1">
      <alignment vertical="center"/>
    </xf>
    <xf numFmtId="0" fontId="35" fillId="8" borderId="0" xfId="0" applyFont="1" applyFill="1">
      <alignment vertical="center"/>
    </xf>
    <xf numFmtId="0" fontId="102" fillId="8" borderId="0" xfId="0" applyFont="1" applyFill="1">
      <alignment vertical="center"/>
    </xf>
    <xf numFmtId="0" fontId="35" fillId="8" borderId="0" xfId="0" applyFont="1" applyFill="1" applyAlignment="1">
      <alignment horizontal="left" vertical="center"/>
    </xf>
    <xf numFmtId="197" fontId="35" fillId="8" borderId="0" xfId="0" applyNumberFormat="1" applyFont="1" applyFill="1">
      <alignment vertical="center"/>
    </xf>
    <xf numFmtId="0" fontId="35" fillId="8" borderId="0" xfId="0" applyFont="1" applyFill="1" applyAlignment="1">
      <alignment horizontal="right" vertical="center"/>
    </xf>
    <xf numFmtId="0" fontId="35" fillId="8" borderId="0" xfId="0" applyFont="1" applyFill="1" applyAlignment="1">
      <alignment horizontal="center" vertical="center"/>
    </xf>
    <xf numFmtId="186" fontId="35" fillId="8" borderId="0" xfId="0" applyNumberFormat="1" applyFont="1" applyFill="1">
      <alignment vertical="center"/>
    </xf>
    <xf numFmtId="49" fontId="35" fillId="8" borderId="57" xfId="0" applyNumberFormat="1" applyFont="1" applyFill="1" applyBorder="1" applyAlignment="1">
      <alignment horizontal="center" vertical="center" wrapText="1"/>
    </xf>
    <xf numFmtId="0" fontId="116" fillId="8" borderId="57" xfId="1" applyFont="1" applyFill="1" applyBorder="1" applyAlignment="1">
      <alignment vertical="center"/>
    </xf>
    <xf numFmtId="189" fontId="35" fillId="8" borderId="57" xfId="0" applyNumberFormat="1" applyFont="1" applyFill="1" applyBorder="1">
      <alignment vertical="center"/>
    </xf>
    <xf numFmtId="0" fontId="35" fillId="8" borderId="57" xfId="0" applyFont="1" applyFill="1" applyBorder="1" applyAlignment="1">
      <alignment vertical="center" wrapText="1"/>
    </xf>
    <xf numFmtId="0" fontId="102" fillId="8" borderId="57" xfId="0" applyFont="1" applyFill="1" applyBorder="1">
      <alignment vertical="center"/>
    </xf>
    <xf numFmtId="0" fontId="102" fillId="8" borderId="123" xfId="0" applyFont="1" applyFill="1" applyBorder="1">
      <alignment vertical="center"/>
    </xf>
    <xf numFmtId="0" fontId="116" fillId="8" borderId="0" xfId="1" applyFont="1" applyFill="1" applyAlignment="1">
      <alignment vertical="center"/>
    </xf>
    <xf numFmtId="0" fontId="116" fillId="8" borderId="0" xfId="1" applyFont="1" applyFill="1" applyAlignment="1">
      <alignment vertical="center" shrinkToFit="1"/>
    </xf>
    <xf numFmtId="189" fontId="35" fillId="8" borderId="0" xfId="0" applyNumberFormat="1" applyFont="1" applyFill="1">
      <alignment vertical="center"/>
    </xf>
    <xf numFmtId="0" fontId="102" fillId="8" borderId="130" xfId="0" applyFont="1" applyFill="1" applyBorder="1">
      <alignment vertical="center"/>
    </xf>
    <xf numFmtId="0" fontId="116" fillId="8" borderId="57" xfId="1" applyFont="1" applyFill="1" applyBorder="1" applyAlignment="1">
      <alignment horizontal="right" vertical="center"/>
    </xf>
    <xf numFmtId="0" fontId="116" fillId="8" borderId="57" xfId="1" applyFont="1" applyFill="1" applyBorder="1" applyAlignment="1">
      <alignment horizontal="left" vertical="center"/>
    </xf>
    <xf numFmtId="189" fontId="35" fillId="8" borderId="57" xfId="0" applyNumberFormat="1" applyFont="1" applyFill="1" applyBorder="1" applyAlignment="1">
      <alignment horizontal="left" vertical="center"/>
    </xf>
    <xf numFmtId="0" fontId="35" fillId="8" borderId="65" xfId="0" applyFont="1" applyFill="1" applyBorder="1">
      <alignment vertical="center"/>
    </xf>
    <xf numFmtId="0" fontId="116" fillId="8" borderId="0" xfId="1" applyFont="1" applyFill="1" applyAlignment="1">
      <alignment horizontal="center" vertical="center"/>
    </xf>
    <xf numFmtId="0" fontId="116" fillId="8" borderId="60" xfId="1" applyFont="1" applyFill="1" applyBorder="1" applyAlignment="1">
      <alignment horizontal="left" vertical="center"/>
    </xf>
    <xf numFmtId="0" fontId="35" fillId="8" borderId="57" xfId="0" applyFont="1" applyFill="1" applyBorder="1">
      <alignment vertical="center"/>
    </xf>
    <xf numFmtId="0" fontId="102" fillId="8" borderId="65" xfId="0" applyFont="1" applyFill="1" applyBorder="1" applyAlignment="1">
      <alignment horizontal="center" vertical="center"/>
    </xf>
    <xf numFmtId="189" fontId="35" fillId="8" borderId="0" xfId="0" applyNumberFormat="1" applyFont="1" applyFill="1" applyAlignment="1">
      <alignment horizontal="center" vertical="center"/>
    </xf>
    <xf numFmtId="0" fontId="102" fillId="8" borderId="124" xfId="0" applyFont="1" applyFill="1" applyBorder="1" applyAlignment="1">
      <alignment horizontal="center" vertical="center"/>
    </xf>
    <xf numFmtId="0" fontId="35" fillId="8" borderId="53" xfId="0" applyFont="1" applyFill="1" applyBorder="1" applyAlignment="1">
      <alignment horizontal="center" vertical="center"/>
    </xf>
    <xf numFmtId="0" fontId="35" fillId="8" borderId="60" xfId="0" applyFont="1" applyFill="1" applyBorder="1" applyAlignment="1">
      <alignment horizontal="center" vertical="center"/>
    </xf>
    <xf numFmtId="0" fontId="102" fillId="8" borderId="0" xfId="0" applyFont="1" applyFill="1" applyAlignment="1">
      <alignment horizontal="center" vertical="center"/>
    </xf>
    <xf numFmtId="0" fontId="102" fillId="8" borderId="130" xfId="0" applyFont="1" applyFill="1" applyBorder="1" applyAlignment="1">
      <alignment horizontal="center" vertical="center"/>
    </xf>
    <xf numFmtId="0" fontId="102" fillId="8" borderId="57" xfId="0" applyFont="1" applyFill="1" applyBorder="1" applyAlignment="1">
      <alignment horizontal="center" vertical="center"/>
    </xf>
    <xf numFmtId="0" fontId="102" fillId="8" borderId="123" xfId="0" applyFont="1" applyFill="1" applyBorder="1" applyAlignment="1">
      <alignment horizontal="center" vertical="center"/>
    </xf>
    <xf numFmtId="0" fontId="102" fillId="8" borderId="65" xfId="0" applyFont="1" applyFill="1" applyBorder="1">
      <alignment vertical="center"/>
    </xf>
    <xf numFmtId="0" fontId="35" fillId="8" borderId="60" xfId="0" applyFont="1" applyFill="1" applyBorder="1" applyAlignment="1">
      <alignment horizontal="right" vertical="center"/>
    </xf>
    <xf numFmtId="0" fontId="35" fillId="8" borderId="60" xfId="0" applyFont="1" applyFill="1" applyBorder="1" applyAlignment="1">
      <alignment horizontal="left" vertical="center"/>
    </xf>
    <xf numFmtId="0" fontId="35" fillId="8" borderId="131" xfId="0" applyFont="1" applyFill="1" applyBorder="1">
      <alignment vertical="center"/>
    </xf>
    <xf numFmtId="0" fontId="35" fillId="8" borderId="57" xfId="0" applyFont="1" applyFill="1" applyBorder="1" applyAlignment="1">
      <alignment horizontal="left" vertical="center"/>
    </xf>
    <xf numFmtId="0" fontId="35" fillId="8" borderId="57" xfId="0" applyFont="1" applyFill="1" applyBorder="1" applyAlignment="1">
      <alignment horizontal="center" vertical="center"/>
    </xf>
    <xf numFmtId="0" fontId="35" fillId="8" borderId="53" xfId="0" applyFont="1" applyFill="1" applyBorder="1" applyAlignment="1">
      <alignment horizontal="right" vertical="center"/>
    </xf>
    <xf numFmtId="189" fontId="35" fillId="8" borderId="53" xfId="0" applyNumberFormat="1" applyFont="1" applyFill="1" applyBorder="1" applyAlignment="1">
      <alignment horizontal="center" vertical="center"/>
    </xf>
    <xf numFmtId="0" fontId="35" fillId="8" borderId="130" xfId="0" applyFont="1" applyFill="1" applyBorder="1" applyAlignment="1">
      <alignment horizontal="center" vertical="center"/>
    </xf>
    <xf numFmtId="0" fontId="102" fillId="8" borderId="124" xfId="0" applyFont="1" applyFill="1" applyBorder="1">
      <alignment vertical="center"/>
    </xf>
    <xf numFmtId="0" fontId="35" fillId="8" borderId="125" xfId="0" applyFont="1" applyFill="1" applyBorder="1" applyAlignment="1">
      <alignment horizontal="center" vertical="center"/>
    </xf>
    <xf numFmtId="0" fontId="35" fillId="8" borderId="134" xfId="0" applyFont="1" applyFill="1" applyBorder="1">
      <alignment vertical="center"/>
    </xf>
    <xf numFmtId="0" fontId="116" fillId="8" borderId="0" xfId="1" applyFont="1" applyFill="1" applyAlignment="1">
      <alignment horizontal="right" vertical="center"/>
    </xf>
    <xf numFmtId="0" fontId="125" fillId="8" borderId="0" xfId="0" applyFont="1" applyFill="1" applyAlignment="1">
      <alignment horizontal="center" vertical="center"/>
    </xf>
    <xf numFmtId="0" fontId="151" fillId="8" borderId="0" xfId="9" applyFont="1" applyFill="1">
      <alignment vertical="center"/>
    </xf>
    <xf numFmtId="0" fontId="16" fillId="8" borderId="0" xfId="0" applyFont="1" applyFill="1">
      <alignment vertical="center"/>
    </xf>
    <xf numFmtId="0" fontId="16" fillId="8" borderId="0" xfId="0" applyFont="1" applyFill="1" applyAlignment="1">
      <alignment horizontal="center" vertical="center"/>
    </xf>
    <xf numFmtId="9" fontId="16" fillId="8" borderId="0" xfId="0" applyNumberFormat="1" applyFont="1" applyFill="1">
      <alignment vertical="center"/>
    </xf>
    <xf numFmtId="0" fontId="151" fillId="8" borderId="0" xfId="9" applyFont="1" applyFill="1" applyAlignment="1">
      <alignment vertical="center" wrapText="1"/>
    </xf>
    <xf numFmtId="0" fontId="116" fillId="8" borderId="60" xfId="1" applyFont="1" applyFill="1" applyBorder="1" applyAlignment="1">
      <alignment horizontal="left" vertical="center" shrinkToFit="1"/>
    </xf>
    <xf numFmtId="0" fontId="121" fillId="8" borderId="57" xfId="0" applyFont="1" applyFill="1" applyBorder="1" applyAlignment="1">
      <alignment horizontal="center" vertical="center"/>
    </xf>
    <xf numFmtId="0" fontId="122" fillId="8" borderId="57" xfId="0" applyFont="1" applyFill="1" applyBorder="1">
      <alignment vertical="center"/>
    </xf>
    <xf numFmtId="0" fontId="35" fillId="8" borderId="123" xfId="0" applyFont="1" applyFill="1" applyBorder="1" applyAlignment="1">
      <alignment horizontal="center" vertical="center"/>
    </xf>
    <xf numFmtId="0" fontId="122" fillId="8" borderId="65" xfId="0" applyFont="1" applyFill="1" applyBorder="1">
      <alignment vertical="center"/>
    </xf>
    <xf numFmtId="0" fontId="121" fillId="8" borderId="0" xfId="0" applyFont="1" applyFill="1" applyAlignment="1">
      <alignment horizontal="center" vertical="center"/>
    </xf>
    <xf numFmtId="0" fontId="52" fillId="8" borderId="0" xfId="1" applyFont="1" applyFill="1" applyAlignment="1">
      <alignment horizontal="center" vertical="center"/>
    </xf>
    <xf numFmtId="0" fontId="122" fillId="8" borderId="65" xfId="0" applyFont="1" applyFill="1" applyBorder="1" applyAlignment="1">
      <alignment horizontal="center" vertical="center"/>
    </xf>
    <xf numFmtId="0" fontId="121" fillId="8" borderId="53" xfId="0" applyFont="1" applyFill="1" applyBorder="1" applyAlignment="1">
      <alignment horizontal="center" vertical="center"/>
    </xf>
    <xf numFmtId="191" fontId="35" fillId="8" borderId="0" xfId="0" applyNumberFormat="1" applyFont="1" applyFill="1" applyAlignment="1">
      <alignment horizontal="center" vertical="center"/>
    </xf>
    <xf numFmtId="0" fontId="35" fillId="8" borderId="130" xfId="0" applyFont="1" applyFill="1" applyBorder="1">
      <alignment vertical="center"/>
    </xf>
    <xf numFmtId="0" fontId="102" fillId="8" borderId="53" xfId="0" applyFont="1" applyFill="1" applyBorder="1">
      <alignment vertical="center"/>
    </xf>
    <xf numFmtId="0" fontId="35" fillId="8" borderId="53" xfId="0" applyFont="1" applyFill="1" applyBorder="1">
      <alignment vertical="center"/>
    </xf>
    <xf numFmtId="0" fontId="35" fillId="8" borderId="125" xfId="0" applyFont="1" applyFill="1" applyBorder="1">
      <alignment vertical="center"/>
    </xf>
    <xf numFmtId="0" fontId="116" fillId="8" borderId="0" xfId="1" applyFont="1" applyFill="1" applyAlignment="1">
      <alignment horizontal="center" vertical="center" shrinkToFit="1"/>
    </xf>
    <xf numFmtId="0" fontId="116" fillId="8" borderId="2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51" fillId="8" borderId="0" xfId="9" applyFont="1" applyFill="1" applyAlignment="1">
      <alignment horizontal="center" vertical="center"/>
    </xf>
    <xf numFmtId="183" fontId="16" fillId="8" borderId="0" xfId="0" applyNumberFormat="1" applyFont="1" applyFill="1">
      <alignment vertical="center"/>
    </xf>
    <xf numFmtId="0" fontId="116" fillId="8" borderId="53" xfId="1" applyFont="1" applyFill="1" applyBorder="1" applyAlignment="1">
      <alignment vertical="center"/>
    </xf>
    <xf numFmtId="0" fontId="116" fillId="8" borderId="57" xfId="1" applyFont="1" applyFill="1" applyBorder="1" applyAlignment="1">
      <alignment vertical="center" shrinkToFit="1"/>
    </xf>
    <xf numFmtId="0" fontId="116" fillId="8" borderId="53" xfId="1" applyFont="1" applyFill="1" applyBorder="1" applyAlignment="1">
      <alignment horizontal="right" vertical="center"/>
    </xf>
    <xf numFmtId="0" fontId="116" fillId="8" borderId="53" xfId="1" applyFont="1" applyFill="1" applyBorder="1" applyAlignment="1">
      <alignment horizontal="left" vertical="center"/>
    </xf>
    <xf numFmtId="0" fontId="116" fillId="8" borderId="0" xfId="1" applyFont="1" applyFill="1" applyAlignment="1">
      <alignment horizontal="left" vertical="center"/>
    </xf>
    <xf numFmtId="2" fontId="116" fillId="8" borderId="0" xfId="1" applyNumberFormat="1" applyFont="1" applyFill="1" applyAlignment="1">
      <alignment vertical="center"/>
    </xf>
    <xf numFmtId="189" fontId="35" fillId="8" borderId="0" xfId="0" applyNumberFormat="1" applyFont="1" applyFill="1" applyAlignment="1">
      <alignment horizontal="left" vertical="center"/>
    </xf>
    <xf numFmtId="191" fontId="35" fillId="8" borderId="0" xfId="0" applyNumberFormat="1" applyFont="1" applyFill="1">
      <alignment vertical="center"/>
    </xf>
    <xf numFmtId="0" fontId="102" fillId="8" borderId="60" xfId="0" applyFont="1" applyFill="1" applyBorder="1">
      <alignment vertical="center"/>
    </xf>
    <xf numFmtId="0" fontId="35" fillId="8" borderId="135" xfId="0" applyFont="1" applyFill="1" applyBorder="1">
      <alignment vertical="center"/>
    </xf>
    <xf numFmtId="0" fontId="102" fillId="8" borderId="125" xfId="0" applyFont="1" applyFill="1" applyBorder="1">
      <alignment vertical="center"/>
    </xf>
    <xf numFmtId="0" fontId="1" fillId="8" borderId="0" xfId="0" applyFont="1" applyFill="1">
      <alignment vertical="center"/>
    </xf>
    <xf numFmtId="0" fontId="138" fillId="8" borderId="0" xfId="0" applyFont="1" applyFill="1" applyAlignment="1">
      <alignment vertical="center" wrapText="1"/>
    </xf>
    <xf numFmtId="0" fontId="139" fillId="8" borderId="0" xfId="0" applyFont="1" applyFill="1" applyAlignment="1">
      <alignment vertical="center" wrapText="1"/>
    </xf>
    <xf numFmtId="0" fontId="12" fillId="8" borderId="0" xfId="0" applyFont="1" applyFill="1">
      <alignment vertical="center"/>
    </xf>
    <xf numFmtId="0" fontId="100" fillId="8" borderId="0" xfId="0" applyFont="1" applyFill="1" applyAlignment="1">
      <alignment vertical="center" wrapText="1"/>
    </xf>
    <xf numFmtId="0" fontId="100" fillId="8" borderId="0" xfId="0" applyFont="1" applyFill="1" applyAlignment="1">
      <alignment horizontal="left" vertical="center"/>
    </xf>
    <xf numFmtId="14" fontId="100" fillId="8" borderId="0" xfId="0" applyNumberFormat="1" applyFont="1" applyFill="1">
      <alignment vertical="center"/>
    </xf>
    <xf numFmtId="0" fontId="100" fillId="8" borderId="0" xfId="0" applyFont="1" applyFill="1" applyAlignment="1">
      <alignment horizontal="distributed" vertical="distributed" justifyLastLine="1"/>
    </xf>
    <xf numFmtId="0" fontId="100" fillId="8" borderId="0" xfId="0" applyFont="1" applyFill="1" applyAlignment="1">
      <alignment horizontal="center" vertical="center" wrapText="1"/>
    </xf>
    <xf numFmtId="0" fontId="100" fillId="8" borderId="0" xfId="0" applyFont="1" applyFill="1">
      <alignment vertical="center"/>
    </xf>
    <xf numFmtId="0" fontId="100" fillId="8" borderId="0" xfId="0" applyFont="1" applyFill="1" applyAlignment="1">
      <alignment horizontal="justify" vertical="center"/>
    </xf>
    <xf numFmtId="0" fontId="100" fillId="8" borderId="0" xfId="0" applyFont="1" applyFill="1" applyAlignment="1">
      <alignment horizontal="justify" vertical="center" wrapText="1"/>
    </xf>
    <xf numFmtId="0" fontId="12" fillId="8" borderId="0" xfId="0" applyFont="1" applyFill="1" applyAlignment="1">
      <alignment horizontal="distributed" vertical="distributed"/>
    </xf>
    <xf numFmtId="0" fontId="100" fillId="8" borderId="0" xfId="0" applyFont="1" applyFill="1" applyAlignment="1">
      <alignment horizontal="distributed" vertical="distributed" wrapText="1" justifyLastLine="1"/>
    </xf>
    <xf numFmtId="0" fontId="100" fillId="8" borderId="0" xfId="0" applyFont="1" applyFill="1" applyAlignment="1">
      <alignment horizontal="left" vertical="center" wrapText="1"/>
    </xf>
    <xf numFmtId="0" fontId="13" fillId="8" borderId="16" xfId="0" applyFont="1" applyFill="1" applyBorder="1">
      <alignment vertical="center"/>
    </xf>
    <xf numFmtId="0" fontId="13" fillId="8" borderId="0" xfId="0" applyFont="1" applyFill="1">
      <alignment vertical="center"/>
    </xf>
    <xf numFmtId="0" fontId="52" fillId="0" borderId="37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shrinkToFit="1"/>
      <protection locked="0"/>
    </xf>
    <xf numFmtId="0" fontId="52" fillId="0" borderId="149" xfId="1" applyFont="1" applyBorder="1" applyAlignment="1" applyProtection="1">
      <alignment horizontal="center" vertical="center" shrinkToFit="1"/>
      <protection locked="0"/>
    </xf>
    <xf numFmtId="0" fontId="52" fillId="0" borderId="150" xfId="1" applyFont="1" applyBorder="1" applyAlignment="1" applyProtection="1">
      <alignment horizontal="center" vertical="center" shrinkToFit="1"/>
      <protection locked="0"/>
    </xf>
    <xf numFmtId="0" fontId="52" fillId="0" borderId="151" xfId="1" applyFont="1" applyBorder="1" applyAlignment="1" applyProtection="1">
      <alignment horizontal="center" vertical="center" shrinkToFit="1"/>
      <protection locked="0"/>
    </xf>
    <xf numFmtId="0" fontId="52" fillId="0" borderId="152" xfId="1" applyFont="1" applyBorder="1" applyAlignment="1" applyProtection="1">
      <alignment horizontal="center" vertical="center" shrinkToFit="1"/>
      <protection locked="0"/>
    </xf>
    <xf numFmtId="0" fontId="76" fillId="0" borderId="0" xfId="1" applyFont="1" applyProtection="1">
      <protection locked="0"/>
    </xf>
    <xf numFmtId="0" fontId="76" fillId="0" borderId="0" xfId="1" applyFont="1" applyAlignment="1" applyProtection="1">
      <alignment vertical="center"/>
      <protection locked="0"/>
    </xf>
    <xf numFmtId="176" fontId="76" fillId="0" borderId="0" xfId="0" applyNumberFormat="1" applyFont="1" applyAlignment="1" applyProtection="1">
      <alignment vertical="center" shrinkToFit="1"/>
      <protection locked="0"/>
    </xf>
    <xf numFmtId="0" fontId="76" fillId="0" borderId="0" xfId="0" applyFont="1" applyAlignment="1" applyProtection="1">
      <alignment vertical="center" shrinkToFit="1"/>
      <protection locked="0"/>
    </xf>
    <xf numFmtId="0" fontId="52" fillId="0" borderId="12" xfId="1" applyFont="1" applyBorder="1" applyAlignment="1">
      <alignment vertical="center"/>
    </xf>
    <xf numFmtId="184" fontId="11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3" fontId="113" fillId="0" borderId="0" xfId="0" applyNumberFormat="1" applyFont="1" applyAlignment="1">
      <alignment horizontal="center" vertical="center"/>
    </xf>
    <xf numFmtId="0" fontId="161" fillId="0" borderId="37" xfId="1" applyFont="1" applyBorder="1" applyAlignment="1" applyProtection="1">
      <alignment horizontal="center" vertical="center" shrinkToFit="1"/>
      <protection locked="0"/>
    </xf>
    <xf numFmtId="0" fontId="161" fillId="0" borderId="5" xfId="1" applyFont="1" applyBorder="1" applyAlignment="1" applyProtection="1">
      <alignment horizontal="center" vertical="center" shrinkToFit="1"/>
      <protection locked="0"/>
    </xf>
    <xf numFmtId="0" fontId="161" fillId="0" borderId="39" xfId="1" applyFont="1" applyBorder="1" applyAlignment="1" applyProtection="1">
      <alignment horizontal="center" vertical="center" shrinkToFit="1"/>
      <protection locked="0"/>
    </xf>
    <xf numFmtId="0" fontId="116" fillId="0" borderId="4" xfId="3" applyFont="1" applyBorder="1" applyAlignment="1">
      <alignment horizontal="left" vertical="center"/>
    </xf>
    <xf numFmtId="0" fontId="128" fillId="0" borderId="32" xfId="3" applyFont="1" applyBorder="1" applyAlignment="1">
      <alignment horizontal="center" vertical="center" wrapText="1"/>
    </xf>
    <xf numFmtId="0" fontId="133" fillId="0" borderId="32" xfId="3" applyFont="1" applyBorder="1" applyAlignment="1">
      <alignment horizontal="center" vertical="center" shrinkToFit="1"/>
    </xf>
    <xf numFmtId="0" fontId="128" fillId="0" borderId="32" xfId="3" applyFont="1" applyBorder="1" applyAlignment="1">
      <alignment horizontal="center" vertical="center"/>
    </xf>
    <xf numFmtId="0" fontId="128" fillId="0" borderId="32" xfId="3" applyFont="1" applyBorder="1" applyAlignment="1">
      <alignment horizontal="center" vertical="center" shrinkToFit="1"/>
    </xf>
    <xf numFmtId="180" fontId="128" fillId="0" borderId="32" xfId="3" applyNumberFormat="1" applyFont="1" applyBorder="1" applyAlignment="1">
      <alignment horizontal="center" vertical="center" shrinkToFit="1"/>
    </xf>
    <xf numFmtId="0" fontId="149" fillId="0" borderId="32" xfId="3" applyFont="1" applyBorder="1" applyAlignment="1">
      <alignment horizontal="center" vertical="center" wrapText="1" shrinkToFit="1"/>
    </xf>
    <xf numFmtId="0" fontId="132" fillId="0" borderId="115" xfId="3" applyFont="1" applyBorder="1">
      <alignment vertical="center"/>
    </xf>
    <xf numFmtId="0" fontId="128" fillId="0" borderId="6" xfId="3" applyFont="1" applyBorder="1" applyAlignment="1">
      <alignment horizontal="centerContinuous" vertical="center"/>
    </xf>
    <xf numFmtId="0" fontId="128" fillId="0" borderId="4" xfId="3" applyFont="1" applyBorder="1" applyAlignment="1">
      <alignment horizontal="centerContinuous" vertical="center"/>
    </xf>
    <xf numFmtId="0" fontId="128" fillId="0" borderId="34" xfId="3" applyFont="1" applyBorder="1" applyAlignment="1">
      <alignment horizontal="centerContinuous" vertical="center" shrinkToFit="1"/>
    </xf>
    <xf numFmtId="0" fontId="116" fillId="0" borderId="4" xfId="1" applyFont="1" applyBorder="1" applyAlignment="1">
      <alignment horizontal="left" vertical="center"/>
    </xf>
    <xf numFmtId="0" fontId="116" fillId="0" borderId="4" xfId="1" applyFont="1" applyBorder="1" applyAlignment="1">
      <alignment vertical="center" shrinkToFit="1"/>
    </xf>
    <xf numFmtId="0" fontId="116" fillId="0" borderId="7" xfId="1" applyFont="1" applyBorder="1" applyAlignment="1">
      <alignment vertical="center" shrinkToFit="1"/>
    </xf>
    <xf numFmtId="0" fontId="54" fillId="0" borderId="5" xfId="1" applyFont="1" applyBorder="1" applyProtection="1">
      <protection locked="0"/>
    </xf>
    <xf numFmtId="178" fontId="52" fillId="6" borderId="5" xfId="1" applyNumberFormat="1" applyFont="1" applyFill="1" applyBorder="1" applyAlignment="1" applyProtection="1">
      <alignment vertical="center" shrinkToFit="1"/>
      <protection locked="0"/>
    </xf>
    <xf numFmtId="0" fontId="52" fillId="0" borderId="5" xfId="1" applyFont="1" applyBorder="1" applyAlignment="1">
      <alignment horizontal="center" vertical="center"/>
    </xf>
    <xf numFmtId="0" fontId="111" fillId="0" borderId="0" xfId="0" applyFont="1">
      <alignment vertical="center"/>
    </xf>
    <xf numFmtId="183" fontId="164" fillId="0" borderId="5" xfId="0" applyNumberFormat="1" applyFont="1" applyBorder="1" applyAlignment="1">
      <alignment horizontal="center" vertical="center" wrapText="1"/>
    </xf>
    <xf numFmtId="181" fontId="102" fillId="0" borderId="5" xfId="0" applyNumberFormat="1" applyFont="1" applyBorder="1" applyAlignment="1">
      <alignment horizontal="center" vertical="center" wrapText="1"/>
    </xf>
    <xf numFmtId="181" fontId="102" fillId="0" borderId="6" xfId="0" applyNumberFormat="1" applyFont="1" applyBorder="1" applyAlignment="1">
      <alignment horizontal="center" vertical="center" wrapText="1"/>
    </xf>
    <xf numFmtId="176" fontId="102" fillId="0" borderId="6" xfId="0" applyNumberFormat="1" applyFont="1" applyBorder="1" applyAlignment="1">
      <alignment horizontal="center" vertical="center" wrapText="1"/>
    </xf>
    <xf numFmtId="2" fontId="129" fillId="0" borderId="120" xfId="0" applyNumberFormat="1" applyFont="1" applyBorder="1" applyAlignment="1">
      <alignment horizontal="center" vertical="center" wrapText="1"/>
    </xf>
    <xf numFmtId="0" fontId="54" fillId="0" borderId="5" xfId="1" applyFont="1" applyBorder="1"/>
    <xf numFmtId="0" fontId="124" fillId="0" borderId="5" xfId="1" applyFont="1" applyBorder="1" applyAlignment="1">
      <alignment vertical="center"/>
    </xf>
    <xf numFmtId="0" fontId="117" fillId="0" borderId="5" xfId="0" applyFont="1" applyBorder="1" applyAlignment="1">
      <alignment horizontal="center" vertical="center"/>
    </xf>
    <xf numFmtId="0" fontId="118" fillId="0" borderId="5" xfId="0" applyFont="1" applyBorder="1" applyAlignment="1">
      <alignment horizontal="center" vertical="center"/>
    </xf>
    <xf numFmtId="181" fontId="118" fillId="0" borderId="5" xfId="0" applyNumberFormat="1" applyFont="1" applyBorder="1" applyAlignment="1">
      <alignment horizontal="center" vertical="center"/>
    </xf>
    <xf numFmtId="0" fontId="57" fillId="0" borderId="5" xfId="1" applyFont="1" applyBorder="1" applyAlignment="1">
      <alignment vertical="center"/>
    </xf>
    <xf numFmtId="195" fontId="118" fillId="0" borderId="5" xfId="0" applyNumberFormat="1" applyFont="1" applyBorder="1" applyAlignment="1">
      <alignment horizontal="center" vertical="center"/>
    </xf>
    <xf numFmtId="184" fontId="119" fillId="0" borderId="5" xfId="0" applyNumberFormat="1" applyFont="1" applyBorder="1">
      <alignment vertical="center"/>
    </xf>
    <xf numFmtId="0" fontId="52" fillId="0" borderId="5" xfId="1" applyFont="1" applyBorder="1"/>
    <xf numFmtId="0" fontId="124" fillId="0" borderId="5" xfId="1" applyFont="1" applyBorder="1"/>
    <xf numFmtId="184" fontId="119" fillId="0" borderId="5" xfId="0" applyNumberFormat="1" applyFont="1" applyBorder="1" applyAlignment="1">
      <alignment horizontal="center" vertical="center"/>
    </xf>
    <xf numFmtId="0" fontId="120" fillId="0" borderId="5" xfId="0" applyFont="1" applyBorder="1" applyAlignment="1">
      <alignment horizontal="center" vertical="center"/>
    </xf>
    <xf numFmtId="183" fontId="119" fillId="0" borderId="5" xfId="0" applyNumberFormat="1" applyFont="1" applyBorder="1" applyAlignment="1">
      <alignment horizontal="center" vertical="center"/>
    </xf>
    <xf numFmtId="183" fontId="120" fillId="0" borderId="5" xfId="0" applyNumberFormat="1" applyFont="1" applyBorder="1" applyAlignment="1">
      <alignment horizontal="center" vertical="center"/>
    </xf>
    <xf numFmtId="2" fontId="54" fillId="0" borderId="5" xfId="1" applyNumberFormat="1" applyFont="1" applyBorder="1" applyAlignment="1">
      <alignment horizontal="center" vertical="center"/>
    </xf>
    <xf numFmtId="0" fontId="113" fillId="0" borderId="0" xfId="0" applyFont="1" applyAlignment="1">
      <alignment horizontal="center" vertical="center" wrapText="1"/>
    </xf>
    <xf numFmtId="191" fontId="12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81" fontId="112" fillId="0" borderId="0" xfId="0" applyNumberFormat="1" applyFont="1" applyAlignment="1">
      <alignment horizontal="center" vertical="center" wrapText="1"/>
    </xf>
    <xf numFmtId="2" fontId="121" fillId="0" borderId="0" xfId="0" applyNumberFormat="1" applyFont="1" applyAlignment="1">
      <alignment horizontal="center" vertical="center" wrapText="1"/>
    </xf>
    <xf numFmtId="177" fontId="113" fillId="0" borderId="0" xfId="0" applyNumberFormat="1" applyFont="1" applyAlignment="1">
      <alignment horizontal="center" vertical="center" wrapText="1"/>
    </xf>
    <xf numFmtId="183" fontId="113" fillId="0" borderId="0" xfId="0" applyNumberFormat="1" applyFont="1" applyAlignment="1">
      <alignment horizontal="center" vertical="center" wrapText="1"/>
    </xf>
    <xf numFmtId="181" fontId="35" fillId="0" borderId="0" xfId="0" applyNumberFormat="1" applyFont="1" applyAlignment="1">
      <alignment horizontal="center" vertical="center" wrapText="1"/>
    </xf>
    <xf numFmtId="181" fontId="162" fillId="0" borderId="0" xfId="0" applyNumberFormat="1" applyFont="1" applyAlignment="1">
      <alignment horizontal="center" vertical="center" wrapText="1"/>
    </xf>
    <xf numFmtId="176" fontId="35" fillId="0" borderId="0" xfId="0" applyNumberFormat="1" applyFont="1" applyAlignment="1">
      <alignment horizontal="center" vertical="center" wrapText="1"/>
    </xf>
    <xf numFmtId="195" fontId="35" fillId="0" borderId="0" xfId="0" applyNumberFormat="1" applyFont="1" applyAlignment="1">
      <alignment horizontal="center" vertical="center" wrapText="1"/>
    </xf>
    <xf numFmtId="177" fontId="114" fillId="0" borderId="0" xfId="0" applyNumberFormat="1" applyFont="1" applyAlignment="1">
      <alignment horizontal="center" vertical="center" wrapText="1"/>
    </xf>
    <xf numFmtId="2" fontId="116" fillId="0" borderId="0" xfId="0" applyNumberFormat="1" applyFont="1" applyAlignment="1">
      <alignment horizontal="center" vertical="center" wrapText="1"/>
    </xf>
    <xf numFmtId="0" fontId="141" fillId="0" borderId="0" xfId="0" applyFont="1" applyAlignment="1">
      <alignment horizontal="center" vertical="center"/>
    </xf>
    <xf numFmtId="0" fontId="163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189" fontId="121" fillId="0" borderId="0" xfId="0" applyNumberFormat="1" applyFont="1" applyAlignment="1">
      <alignment horizontal="center" vertical="center"/>
    </xf>
    <xf numFmtId="189" fontId="115" fillId="0" borderId="0" xfId="0" applyNumberFormat="1" applyFont="1" applyAlignment="1">
      <alignment horizontal="center" vertical="center"/>
    </xf>
    <xf numFmtId="193" fontId="55" fillId="0" borderId="1" xfId="1" applyNumberFormat="1" applyFont="1" applyBorder="1" applyAlignment="1">
      <alignment vertical="center"/>
    </xf>
    <xf numFmtId="193" fontId="55" fillId="0" borderId="12" xfId="1" applyNumberFormat="1" applyFont="1" applyBorder="1" applyAlignment="1">
      <alignment vertical="center"/>
    </xf>
    <xf numFmtId="0" fontId="55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9" fillId="0" borderId="0" xfId="1" applyFont="1" applyAlignment="1" applyProtection="1">
      <alignment horizontal="center"/>
      <protection locked="0"/>
    </xf>
    <xf numFmtId="0" fontId="59" fillId="0" borderId="0" xfId="1" applyFont="1" applyProtection="1">
      <protection locked="0"/>
    </xf>
    <xf numFmtId="0" fontId="118" fillId="0" borderId="0" xfId="0" applyFont="1" applyAlignment="1" applyProtection="1">
      <alignment horizontal="center" vertical="center"/>
      <protection locked="0"/>
    </xf>
    <xf numFmtId="0" fontId="124" fillId="0" borderId="0" xfId="1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52" fillId="0" borderId="0" xfId="1" applyFont="1" applyAlignment="1" applyProtection="1">
      <alignment horizontal="center" vertical="center"/>
      <protection locked="0"/>
    </xf>
    <xf numFmtId="0" fontId="116" fillId="0" borderId="5" xfId="1" applyFont="1" applyBorder="1" applyAlignment="1" applyProtection="1">
      <alignment horizontal="center" vertical="center" shrinkToFit="1"/>
      <protection locked="0"/>
    </xf>
    <xf numFmtId="184" fontId="116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129" fillId="8" borderId="9" xfId="1" applyFont="1" applyFill="1" applyBorder="1" applyProtection="1">
      <protection locked="0"/>
    </xf>
    <xf numFmtId="0" fontId="129" fillId="8" borderId="11" xfId="1" applyFont="1" applyFill="1" applyBorder="1" applyProtection="1">
      <protection locked="0"/>
    </xf>
    <xf numFmtId="0" fontId="165" fillId="0" borderId="0" xfId="0" applyFont="1" applyAlignment="1">
      <alignment horizontal="center" vertical="center"/>
    </xf>
    <xf numFmtId="184" fontId="166" fillId="0" borderId="0" xfId="0" applyNumberFormat="1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184" fontId="167" fillId="0" borderId="0" xfId="0" applyNumberFormat="1" applyFont="1" applyAlignment="1">
      <alignment horizontal="center" vertical="center"/>
    </xf>
    <xf numFmtId="195" fontId="167" fillId="0" borderId="0" xfId="0" applyNumberFormat="1" applyFont="1" applyAlignment="1">
      <alignment horizontal="center" vertical="center"/>
    </xf>
    <xf numFmtId="183" fontId="167" fillId="0" borderId="0" xfId="0" applyNumberFormat="1" applyFont="1" applyAlignment="1">
      <alignment horizontal="center" vertical="center"/>
    </xf>
    <xf numFmtId="0" fontId="167" fillId="0" borderId="0" xfId="0" applyFont="1" applyAlignment="1" applyProtection="1">
      <alignment horizontal="center" vertical="center"/>
      <protection locked="0"/>
    </xf>
    <xf numFmtId="0" fontId="112" fillId="0" borderId="0" xfId="0" applyFont="1" applyAlignment="1" applyProtection="1">
      <alignment horizontal="center" vertical="center"/>
      <protection locked="0"/>
    </xf>
    <xf numFmtId="184" fontId="52" fillId="0" borderId="5" xfId="1" applyNumberFormat="1" applyFont="1" applyBorder="1" applyAlignment="1">
      <alignment vertical="center" shrinkToFit="1"/>
    </xf>
    <xf numFmtId="184" fontId="52" fillId="6" borderId="5" xfId="1" applyNumberFormat="1" applyFont="1" applyFill="1" applyBorder="1" applyAlignment="1" applyProtection="1">
      <alignment vertical="center" shrinkToFit="1"/>
      <protection locked="0"/>
    </xf>
    <xf numFmtId="179" fontId="52" fillId="0" borderId="5" xfId="1" applyNumberFormat="1" applyFont="1" applyBorder="1" applyAlignment="1" applyProtection="1">
      <alignment horizontal="center" vertical="center" shrinkToFit="1"/>
      <protection locked="0"/>
    </xf>
    <xf numFmtId="180" fontId="52" fillId="0" borderId="18" xfId="1" applyNumberFormat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 applyProtection="1">
      <alignment horizontal="center" vertical="center" shrinkToFit="1"/>
      <protection locked="0"/>
    </xf>
    <xf numFmtId="180" fontId="52" fillId="0" borderId="7" xfId="1" applyNumberFormat="1" applyFont="1" applyBorder="1" applyAlignment="1" applyProtection="1">
      <alignment horizontal="center" vertical="center" shrinkToFit="1"/>
      <protection locked="0"/>
    </xf>
    <xf numFmtId="0" fontId="132" fillId="0" borderId="0" xfId="3" applyFont="1" applyAlignment="1">
      <alignment horizontal="center" vertical="center"/>
    </xf>
    <xf numFmtId="184" fontId="52" fillId="0" borderId="5" xfId="1" applyNumberFormat="1" applyFont="1" applyBorder="1" applyAlignment="1">
      <alignment horizontal="center" vertical="center" shrinkToFit="1"/>
    </xf>
    <xf numFmtId="0" fontId="128" fillId="0" borderId="0" xfId="3" applyFont="1" applyAlignment="1">
      <alignment horizontal="left" vertical="center" shrinkToFit="1"/>
    </xf>
    <xf numFmtId="0" fontId="37" fillId="4" borderId="20" xfId="0" applyFont="1" applyFill="1" applyBorder="1" applyAlignment="1">
      <alignment horizontal="center" vertical="center" shrinkToFit="1"/>
    </xf>
    <xf numFmtId="0" fontId="37" fillId="24" borderId="21" xfId="0" applyFont="1" applyFill="1" applyBorder="1" applyAlignment="1">
      <alignment horizontal="centerContinuous" vertical="center"/>
    </xf>
    <xf numFmtId="0" fontId="37" fillId="24" borderId="74" xfId="0" applyFont="1" applyFill="1" applyBorder="1" applyAlignment="1">
      <alignment horizontal="centerContinuous" vertical="center"/>
    </xf>
    <xf numFmtId="0" fontId="37" fillId="4" borderId="21" xfId="0" applyFont="1" applyFill="1" applyBorder="1" applyAlignment="1">
      <alignment horizontal="center" vertical="center"/>
    </xf>
    <xf numFmtId="0" fontId="37" fillId="4" borderId="22" xfId="0" applyFont="1" applyFill="1" applyBorder="1" applyAlignment="1">
      <alignment horizontal="center" vertical="center" shrinkToFit="1"/>
    </xf>
    <xf numFmtId="0" fontId="133" fillId="25" borderId="5" xfId="0" applyFont="1" applyFill="1" applyBorder="1" applyAlignment="1">
      <alignment horizontal="center" vertical="center" shrinkToFit="1"/>
    </xf>
    <xf numFmtId="0" fontId="133" fillId="25" borderId="5" xfId="0" applyFont="1" applyFill="1" applyBorder="1" applyAlignment="1">
      <alignment horizontal="center" vertical="center"/>
    </xf>
    <xf numFmtId="0" fontId="104" fillId="0" borderId="78" xfId="0" applyFont="1" applyBorder="1" applyAlignment="1">
      <alignment horizontal="center" vertical="center" wrapText="1"/>
    </xf>
    <xf numFmtId="0" fontId="104" fillId="0" borderId="81" xfId="0" applyFont="1" applyBorder="1" applyAlignment="1">
      <alignment horizontal="center" vertical="center" wrapText="1"/>
    </xf>
    <xf numFmtId="0" fontId="104" fillId="0" borderId="79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/>
    </xf>
    <xf numFmtId="189" fontId="55" fillId="0" borderId="109" xfId="0" applyNumberFormat="1" applyFont="1" applyBorder="1">
      <alignment vertical="center"/>
    </xf>
    <xf numFmtId="189" fontId="55" fillId="0" borderId="49" xfId="0" applyNumberFormat="1" applyFont="1" applyBorder="1">
      <alignment vertical="center"/>
    </xf>
    <xf numFmtId="0" fontId="88" fillId="0" borderId="0" xfId="0" applyFont="1" applyAlignment="1">
      <alignment horizontal="center" vertical="center"/>
    </xf>
    <xf numFmtId="191" fontId="65" fillId="17" borderId="1" xfId="0" applyNumberFormat="1" applyFont="1" applyFill="1" applyBorder="1" applyAlignment="1">
      <alignment horizontal="center" vertical="center"/>
    </xf>
    <xf numFmtId="0" fontId="55" fillId="0" borderId="1" xfId="1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115" fillId="15" borderId="0" xfId="0" applyFont="1" applyFill="1" applyAlignment="1">
      <alignment horizontal="center" vertical="center"/>
    </xf>
    <xf numFmtId="0" fontId="52" fillId="0" borderId="118" xfId="1" applyFont="1" applyBorder="1"/>
    <xf numFmtId="0" fontId="0" fillId="0" borderId="139" xfId="0" applyBorder="1">
      <alignment vertical="center"/>
    </xf>
    <xf numFmtId="0" fontId="52" fillId="0" borderId="139" xfId="1" applyFont="1" applyBorder="1"/>
    <xf numFmtId="0" fontId="52" fillId="0" borderId="139" xfId="1" applyFont="1" applyBorder="1" applyAlignment="1">
      <alignment horizontal="center"/>
    </xf>
    <xf numFmtId="0" fontId="115" fillId="15" borderId="139" xfId="0" applyFont="1" applyFill="1" applyBorder="1" applyAlignment="1">
      <alignment horizontal="center" vertical="center"/>
    </xf>
    <xf numFmtId="0" fontId="54" fillId="0" borderId="139" xfId="1" applyFont="1" applyBorder="1"/>
    <xf numFmtId="0" fontId="54" fillId="0" borderId="119" xfId="1" applyFont="1" applyBorder="1"/>
    <xf numFmtId="0" fontId="122" fillId="0" borderId="8" xfId="0" applyFont="1" applyBorder="1" applyAlignment="1">
      <alignment horizontal="center" vertical="center"/>
    </xf>
    <xf numFmtId="191" fontId="129" fillId="0" borderId="120" xfId="0" applyNumberFormat="1" applyFont="1" applyBorder="1" applyAlignment="1">
      <alignment horizontal="center" vertical="center" wrapText="1"/>
    </xf>
    <xf numFmtId="0" fontId="168" fillId="0" borderId="0" xfId="0" applyFont="1" applyAlignment="1">
      <alignment horizontal="center" vertical="center"/>
    </xf>
    <xf numFmtId="0" fontId="83" fillId="0" borderId="139" xfId="0" applyFont="1" applyBorder="1" applyAlignment="1">
      <alignment horizontal="center" vertical="center"/>
    </xf>
    <xf numFmtId="2" fontId="65" fillId="17" borderId="27" xfId="0" applyNumberFormat="1" applyFont="1" applyFill="1" applyBorder="1" applyAlignment="1">
      <alignment horizontal="center" vertical="center"/>
    </xf>
    <xf numFmtId="2" fontId="65" fillId="17" borderId="153" xfId="0" applyNumberFormat="1" applyFont="1" applyFill="1" applyBorder="1" applyAlignment="1">
      <alignment horizontal="center" vertical="center"/>
    </xf>
    <xf numFmtId="193" fontId="65" fillId="17" borderId="27" xfId="0" applyNumberFormat="1" applyFont="1" applyFill="1" applyBorder="1" applyAlignment="1">
      <alignment horizontal="center" vertical="center"/>
    </xf>
    <xf numFmtId="189" fontId="65" fillId="15" borderId="77" xfId="0" applyNumberFormat="1" applyFont="1" applyFill="1" applyBorder="1" applyAlignment="1" applyProtection="1">
      <alignment horizontal="center" vertical="center" shrinkToFit="1"/>
      <protection locked="0"/>
    </xf>
    <xf numFmtId="191" fontId="56" fillId="0" borderId="0" xfId="1" applyNumberFormat="1" applyFont="1" applyAlignment="1">
      <alignment vertical="center"/>
    </xf>
    <xf numFmtId="0" fontId="65" fillId="15" borderId="90" xfId="0" applyFont="1" applyFill="1" applyBorder="1" applyAlignment="1" applyProtection="1">
      <alignment horizontal="center" vertical="center"/>
      <protection locked="0"/>
    </xf>
    <xf numFmtId="189" fontId="65" fillId="15" borderId="156" xfId="0" applyNumberFormat="1" applyFont="1" applyFill="1" applyBorder="1" applyAlignment="1" applyProtection="1">
      <alignment horizontal="center" vertical="center" shrinkToFit="1"/>
      <protection locked="0"/>
    </xf>
    <xf numFmtId="0" fontId="132" fillId="0" borderId="0" xfId="3" applyFont="1" applyAlignment="1" applyProtection="1">
      <alignment horizontal="center" vertical="center"/>
      <protection locked="0"/>
    </xf>
    <xf numFmtId="0" fontId="129" fillId="0" borderId="0" xfId="3" applyFont="1" applyProtection="1">
      <alignment vertical="center"/>
      <protection locked="0"/>
    </xf>
    <xf numFmtId="0" fontId="116" fillId="0" borderId="0" xfId="1" applyFont="1" applyAlignment="1" applyProtection="1">
      <alignment vertical="center" shrinkToFit="1"/>
      <protection locked="0"/>
    </xf>
    <xf numFmtId="49" fontId="116" fillId="0" borderId="0" xfId="1" applyNumberFormat="1" applyFont="1" applyAlignment="1" applyProtection="1">
      <alignment horizontal="center" vertical="center" shrinkToFit="1"/>
      <protection locked="0"/>
    </xf>
    <xf numFmtId="0" fontId="116" fillId="0" borderId="0" xfId="1" applyFont="1" applyAlignment="1" applyProtection="1">
      <alignment horizontal="center" vertical="center" shrinkToFit="1"/>
      <protection locked="0"/>
    </xf>
    <xf numFmtId="0" fontId="54" fillId="4" borderId="0" xfId="1" applyFont="1" applyFill="1" applyProtection="1">
      <protection locked="0"/>
    </xf>
    <xf numFmtId="49" fontId="116" fillId="0" borderId="17" xfId="1" applyNumberFormat="1" applyFont="1" applyBorder="1" applyAlignment="1" applyProtection="1">
      <alignment horizontal="center" vertical="center" shrinkToFit="1"/>
      <protection locked="0"/>
    </xf>
    <xf numFmtId="0" fontId="116" fillId="0" borderId="27" xfId="1" applyFont="1" applyBorder="1" applyAlignment="1" applyProtection="1">
      <alignment horizontal="center" vertical="center" shrinkToFit="1"/>
      <protection locked="0"/>
    </xf>
    <xf numFmtId="0" fontId="132" fillId="0" borderId="87" xfId="3" applyFont="1" applyBorder="1" applyAlignment="1" applyProtection="1">
      <alignment horizontal="centerContinuous" vertical="center"/>
      <protection locked="0"/>
    </xf>
    <xf numFmtId="0" fontId="169" fillId="0" borderId="7" xfId="1" applyFont="1" applyBorder="1" applyAlignment="1" applyProtection="1">
      <alignment horizontal="center" vertical="center" shrinkToFit="1"/>
      <protection locked="0"/>
    </xf>
    <xf numFmtId="0" fontId="52" fillId="0" borderId="157" xfId="1" applyFont="1" applyBorder="1" applyAlignment="1" applyProtection="1">
      <alignment horizontal="center" vertical="center" shrinkToFit="1"/>
      <protection locked="0"/>
    </xf>
    <xf numFmtId="0" fontId="52" fillId="0" borderId="158" xfId="1" applyFont="1" applyBorder="1" applyAlignment="1" applyProtection="1">
      <alignment horizontal="center" vertical="center" shrinkToFit="1"/>
      <protection locked="0"/>
    </xf>
    <xf numFmtId="0" fontId="52" fillId="0" borderId="159" xfId="1" applyFont="1" applyBorder="1" applyAlignment="1" applyProtection="1">
      <alignment horizontal="center" vertical="center" shrinkToFit="1"/>
      <protection locked="0"/>
    </xf>
    <xf numFmtId="0" fontId="52" fillId="0" borderId="160" xfId="1" applyFont="1" applyBorder="1" applyAlignment="1" applyProtection="1">
      <alignment horizontal="center" vertical="center" shrinkToFit="1"/>
      <protection locked="0"/>
    </xf>
    <xf numFmtId="0" fontId="52" fillId="0" borderId="161" xfId="1" applyFont="1" applyBorder="1" applyAlignment="1" applyProtection="1">
      <alignment horizontal="center" vertical="center" shrinkToFit="1"/>
      <protection locked="0"/>
    </xf>
    <xf numFmtId="0" fontId="57" fillId="0" borderId="7" xfId="1" applyFont="1" applyBorder="1" applyAlignment="1">
      <alignment horizontal="center" vertical="center" shrinkToFit="1"/>
    </xf>
    <xf numFmtId="49" fontId="116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6" xfId="1" applyFont="1" applyBorder="1" applyAlignment="1" applyProtection="1">
      <alignment horizontal="centerContinuous" vertical="center" shrinkToFit="1"/>
      <protection locked="0"/>
    </xf>
    <xf numFmtId="0" fontId="54" fillId="0" borderId="4" xfId="1" applyFont="1" applyBorder="1" applyAlignment="1" applyProtection="1">
      <alignment horizontal="centerContinuous" shrinkToFit="1"/>
      <protection locked="0"/>
    </xf>
    <xf numFmtId="0" fontId="54" fillId="0" borderId="7" xfId="1" applyFont="1" applyBorder="1" applyAlignment="1" applyProtection="1">
      <alignment horizontal="centerContinuous" shrinkToFit="1"/>
      <protection locked="0"/>
    </xf>
    <xf numFmtId="0" fontId="52" fillId="0" borderId="4" xfId="1" applyFont="1" applyBorder="1" applyAlignment="1" applyProtection="1">
      <alignment horizontal="centerContinuous" vertical="center" shrinkToFit="1"/>
      <protection locked="0"/>
    </xf>
    <xf numFmtId="0" fontId="52" fillId="0" borderId="7" xfId="1" applyFont="1" applyBorder="1" applyAlignment="1" applyProtection="1">
      <alignment horizontal="centerContinuous" shrinkToFit="1"/>
      <protection locked="0"/>
    </xf>
    <xf numFmtId="191" fontId="59" fillId="0" borderId="6" xfId="1" applyNumberFormat="1" applyFont="1" applyBorder="1" applyAlignment="1">
      <alignment horizontal="centerContinuous" vertical="center" shrinkToFit="1"/>
    </xf>
    <xf numFmtId="0" fontId="129" fillId="0" borderId="16" xfId="3" applyFont="1" applyBorder="1" applyAlignment="1">
      <alignment horizontal="right" vertical="center"/>
    </xf>
    <xf numFmtId="0" fontId="76" fillId="0" borderId="7" xfId="0" applyFont="1" applyBorder="1" applyAlignment="1">
      <alignment horizontal="center" vertical="center"/>
    </xf>
    <xf numFmtId="0" fontId="133" fillId="6" borderId="5" xfId="0" applyFont="1" applyFill="1" applyBorder="1" applyAlignment="1">
      <alignment horizontal="center" vertical="center" shrinkToFit="1"/>
    </xf>
    <xf numFmtId="0" fontId="133" fillId="6" borderId="5" xfId="0" applyFont="1" applyFill="1" applyBorder="1" applyAlignment="1">
      <alignment horizontal="center" vertical="center"/>
    </xf>
    <xf numFmtId="2" fontId="121" fillId="0" borderId="5" xfId="8" applyNumberFormat="1" applyFont="1" applyBorder="1" applyAlignment="1">
      <alignment horizontal="center" vertical="center" wrapText="1"/>
    </xf>
    <xf numFmtId="191" fontId="121" fillId="0" borderId="5" xfId="8" applyNumberFormat="1" applyFont="1" applyBorder="1" applyAlignment="1">
      <alignment horizontal="center" vertical="center" wrapText="1"/>
    </xf>
    <xf numFmtId="189" fontId="121" fillId="0" borderId="5" xfId="8" applyNumberFormat="1" applyFont="1" applyBorder="1" applyAlignment="1">
      <alignment horizontal="center" vertical="center"/>
    </xf>
    <xf numFmtId="184" fontId="121" fillId="0" borderId="5" xfId="8" applyNumberFormat="1" applyFont="1" applyBorder="1" applyAlignment="1">
      <alignment horizontal="center" vertical="center" wrapText="1"/>
    </xf>
    <xf numFmtId="2" fontId="121" fillId="0" borderId="6" xfId="8" applyNumberFormat="1" applyFont="1" applyBorder="1" applyAlignment="1">
      <alignment horizontal="center" vertical="center" wrapText="1"/>
    </xf>
    <xf numFmtId="190" fontId="121" fillId="0" borderId="6" xfId="8" applyNumberFormat="1" applyFont="1" applyBorder="1" applyAlignment="1">
      <alignment horizontal="center" vertical="center" wrapText="1"/>
    </xf>
    <xf numFmtId="2" fontId="163" fillId="0" borderId="5" xfId="8" applyNumberFormat="1" applyFont="1" applyBorder="1" applyAlignment="1">
      <alignment horizontal="center" vertical="center" wrapText="1"/>
    </xf>
    <xf numFmtId="0" fontId="128" fillId="0" borderId="10" xfId="1" applyFont="1" applyBorder="1" applyAlignment="1" applyProtection="1">
      <alignment vertical="center"/>
      <protection locked="0"/>
    </xf>
    <xf numFmtId="191" fontId="116" fillId="0" borderId="7" xfId="1" applyNumberFormat="1" applyFont="1" applyBorder="1" applyAlignment="1" applyProtection="1">
      <alignment horizontal="center" vertical="center" shrinkToFit="1"/>
      <protection locked="0"/>
    </xf>
    <xf numFmtId="189" fontId="116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Continuous" vertical="center"/>
      <protection locked="0"/>
    </xf>
    <xf numFmtId="192" fontId="116" fillId="0" borderId="4" xfId="1" applyNumberFormat="1" applyFont="1" applyBorder="1" applyAlignment="1" applyProtection="1">
      <alignment horizontal="centerContinuous" vertical="center"/>
      <protection locked="0"/>
    </xf>
    <xf numFmtId="0" fontId="116" fillId="0" borderId="4" xfId="1" applyFont="1" applyBorder="1" applyAlignment="1" applyProtection="1">
      <alignment horizontal="center" vertical="center" shrinkToFit="1"/>
      <protection locked="0"/>
    </xf>
    <xf numFmtId="0" fontId="116" fillId="0" borderId="4" xfId="1" applyFont="1" applyBorder="1" applyAlignment="1" applyProtection="1">
      <alignment horizontal="centerContinuous" vertical="center"/>
      <protection locked="0"/>
    </xf>
    <xf numFmtId="192" fontId="116" fillId="0" borderId="7" xfId="1" applyNumberFormat="1" applyFont="1" applyBorder="1" applyAlignment="1" applyProtection="1">
      <alignment horizontal="centerContinuous" vertical="center"/>
      <protection locked="0"/>
    </xf>
    <xf numFmtId="0" fontId="116" fillId="0" borderId="6" xfId="1" applyFont="1" applyBorder="1" applyAlignment="1" applyProtection="1">
      <alignment horizontal="center" vertical="center" shrinkToFit="1"/>
      <protection locked="0"/>
    </xf>
    <xf numFmtId="183" fontId="116" fillId="0" borderId="7" xfId="1" applyNumberFormat="1" applyFont="1" applyBorder="1" applyAlignment="1" applyProtection="1">
      <alignment horizontal="center" vertical="center"/>
      <protection locked="0"/>
    </xf>
    <xf numFmtId="2" fontId="128" fillId="0" borderId="7" xfId="1" applyNumberFormat="1" applyFont="1" applyBorder="1" applyAlignment="1" applyProtection="1">
      <alignment horizontal="center" vertical="center" shrinkToFit="1"/>
      <protection locked="0"/>
    </xf>
    <xf numFmtId="0" fontId="141" fillId="0" borderId="3" xfId="1" applyFont="1" applyBorder="1" applyAlignment="1" applyProtection="1">
      <alignment vertical="center" wrapText="1" shrinkToFit="1"/>
      <protection locked="0"/>
    </xf>
    <xf numFmtId="0" fontId="116" fillId="0" borderId="3" xfId="1" applyFont="1" applyBorder="1" applyAlignment="1" applyProtection="1">
      <alignment horizontal="centerContinuous" vertical="center" wrapText="1" shrinkToFit="1"/>
      <protection locked="0"/>
    </xf>
    <xf numFmtId="49" fontId="116" fillId="0" borderId="3" xfId="1" applyNumberFormat="1" applyFont="1" applyBorder="1" applyAlignment="1" applyProtection="1">
      <alignment horizontal="centerContinuous" vertical="center" wrapText="1" shrinkToFit="1"/>
      <protection locked="0"/>
    </xf>
    <xf numFmtId="49" fontId="116" fillId="0" borderId="3" xfId="1" applyNumberFormat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vertical="center" wrapText="1" shrinkToFit="1"/>
      <protection locked="0"/>
    </xf>
    <xf numFmtId="0" fontId="141" fillId="0" borderId="10" xfId="1" applyFont="1" applyBorder="1" applyAlignment="1" applyProtection="1">
      <alignment vertical="center" wrapText="1" shrinkToFit="1"/>
      <protection locked="0"/>
    </xf>
    <xf numFmtId="0" fontId="141" fillId="0" borderId="11" xfId="1" applyFont="1" applyBorder="1" applyAlignment="1" applyProtection="1">
      <alignment horizontal="left" vertical="center" wrapText="1" indent="1" shrinkToFit="1"/>
      <protection locked="0"/>
    </xf>
    <xf numFmtId="0" fontId="116" fillId="0" borderId="8" xfId="1" applyFont="1" applyBorder="1" applyAlignment="1" applyProtection="1">
      <alignment horizontal="center" vertical="center" wrapText="1" shrinkToFit="1"/>
      <protection locked="0"/>
    </xf>
    <xf numFmtId="2" fontId="52" fillId="0" borderId="17" xfId="1" applyNumberFormat="1" applyFont="1" applyBorder="1" applyAlignment="1" applyProtection="1">
      <alignment horizontal="center" vertical="center" wrapText="1" shrinkToFit="1"/>
      <protection locked="0"/>
    </xf>
    <xf numFmtId="0" fontId="128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6" xfId="1" applyFont="1" applyBorder="1" applyAlignment="1" applyProtection="1">
      <alignment horizontal="center" vertical="center" wrapText="1" shrinkToFit="1"/>
      <protection locked="0"/>
    </xf>
    <xf numFmtId="0" fontId="76" fillId="6" borderId="7" xfId="0" applyFont="1" applyFill="1" applyBorder="1" applyAlignment="1">
      <alignment horizontal="center" vertical="center"/>
    </xf>
    <xf numFmtId="191" fontId="66" fillId="15" borderId="6" xfId="0" applyNumberFormat="1" applyFont="1" applyFill="1" applyBorder="1" applyAlignment="1" applyProtection="1">
      <alignment horizontal="center" vertical="center"/>
      <protection locked="0"/>
    </xf>
    <xf numFmtId="191" fontId="66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7" borderId="8" xfId="0" applyFont="1" applyFill="1" applyBorder="1" applyAlignment="1" applyProtection="1">
      <alignment horizontal="center" vertical="center"/>
      <protection locked="0"/>
    </xf>
    <xf numFmtId="0" fontId="65" fillId="17" borderId="10" xfId="0" applyFont="1" applyFill="1" applyBorder="1" applyAlignment="1" applyProtection="1">
      <alignment horizontal="center" vertical="center"/>
      <protection locked="0"/>
    </xf>
    <xf numFmtId="0" fontId="65" fillId="17" borderId="9" xfId="0" applyFont="1" applyFill="1" applyBorder="1" applyAlignment="1" applyProtection="1">
      <alignment horizontal="center" vertical="center"/>
      <protection locked="0"/>
    </xf>
    <xf numFmtId="0" fontId="65" fillId="17" borderId="11" xfId="0" applyFont="1" applyFill="1" applyBorder="1" applyAlignment="1" applyProtection="1">
      <alignment horizontal="center" vertical="center"/>
      <protection locked="0"/>
    </xf>
    <xf numFmtId="0" fontId="66" fillId="19" borderId="6" xfId="0" applyFont="1" applyFill="1" applyBorder="1" applyAlignment="1" applyProtection="1">
      <alignment horizontal="center" vertical="center"/>
      <protection locked="0"/>
    </xf>
    <xf numFmtId="0" fontId="66" fillId="19" borderId="7" xfId="0" applyFont="1" applyFill="1" applyBorder="1" applyAlignment="1" applyProtection="1">
      <alignment horizontal="center" vertical="center"/>
      <protection locked="0"/>
    </xf>
    <xf numFmtId="0" fontId="66" fillId="19" borderId="5" xfId="0" applyFont="1" applyFill="1" applyBorder="1" applyAlignment="1" applyProtection="1">
      <alignment horizontal="center" vertical="center"/>
      <protection locked="0"/>
    </xf>
    <xf numFmtId="0" fontId="65" fillId="16" borderId="5" xfId="0" applyFont="1" applyFill="1" applyBorder="1" applyAlignment="1" applyProtection="1">
      <alignment horizontal="center" vertical="center"/>
      <protection locked="0"/>
    </xf>
    <xf numFmtId="0" fontId="57" fillId="17" borderId="6" xfId="0" applyFont="1" applyFill="1" applyBorder="1" applyAlignment="1">
      <alignment horizontal="center" vertical="center"/>
    </xf>
    <xf numFmtId="0" fontId="57" fillId="17" borderId="4" xfId="0" applyFont="1" applyFill="1" applyBorder="1" applyAlignment="1">
      <alignment horizontal="center" vertical="center"/>
    </xf>
    <xf numFmtId="0" fontId="57" fillId="17" borderId="7" xfId="0" applyFont="1" applyFill="1" applyBorder="1" applyAlignment="1">
      <alignment horizontal="center" vertical="center"/>
    </xf>
    <xf numFmtId="0" fontId="65" fillId="17" borderId="17" xfId="0" applyFont="1" applyFill="1" applyBorder="1" applyAlignment="1" applyProtection="1">
      <alignment horizontal="center" vertical="center"/>
      <protection locked="0"/>
    </xf>
    <xf numFmtId="0" fontId="65" fillId="17" borderId="5" xfId="0" applyFont="1" applyFill="1" applyBorder="1" applyAlignment="1" applyProtection="1">
      <alignment horizontal="center" vertical="center"/>
      <protection locked="0"/>
    </xf>
    <xf numFmtId="183" fontId="57" fillId="17" borderId="6" xfId="0" applyNumberFormat="1" applyFont="1" applyFill="1" applyBorder="1" applyAlignment="1">
      <alignment horizontal="center" vertical="center"/>
    </xf>
    <xf numFmtId="183" fontId="57" fillId="17" borderId="4" xfId="0" applyNumberFormat="1" applyFont="1" applyFill="1" applyBorder="1" applyAlignment="1">
      <alignment horizontal="center" vertical="center"/>
    </xf>
    <xf numFmtId="183" fontId="57" fillId="17" borderId="7" xfId="0" applyNumberFormat="1" applyFont="1" applyFill="1" applyBorder="1" applyAlignment="1">
      <alignment horizontal="center" vertical="center"/>
    </xf>
    <xf numFmtId="2" fontId="57" fillId="17" borderId="5" xfId="0" applyNumberFormat="1" applyFont="1" applyFill="1" applyBorder="1" applyAlignment="1">
      <alignment horizontal="center" vertical="center"/>
    </xf>
    <xf numFmtId="0" fontId="65" fillId="16" borderId="5" xfId="0" applyFont="1" applyFill="1" applyBorder="1" applyAlignment="1" applyProtection="1">
      <alignment horizontal="center" vertical="center" shrinkToFit="1"/>
      <protection locked="0"/>
    </xf>
    <xf numFmtId="193" fontId="65" fillId="17" borderId="5" xfId="0" applyNumberFormat="1" applyFont="1" applyFill="1" applyBorder="1" applyAlignment="1">
      <alignment horizontal="center" vertical="center"/>
    </xf>
    <xf numFmtId="195" fontId="57" fillId="17" borderId="5" xfId="0" applyNumberFormat="1" applyFont="1" applyFill="1" applyBorder="1" applyAlignment="1">
      <alignment horizontal="center" vertical="center"/>
    </xf>
    <xf numFmtId="195" fontId="57" fillId="17" borderId="1" xfId="0" applyNumberFormat="1" applyFont="1" applyFill="1" applyBorder="1" applyAlignment="1">
      <alignment horizontal="center" vertical="center"/>
    </xf>
    <xf numFmtId="195" fontId="57" fillId="17" borderId="0" xfId="0" applyNumberFormat="1" applyFont="1" applyFill="1" applyAlignment="1">
      <alignment horizontal="center" vertical="center"/>
    </xf>
    <xf numFmtId="0" fontId="65" fillId="15" borderId="5" xfId="0" applyFont="1" applyFill="1" applyBorder="1" applyAlignment="1" applyProtection="1">
      <alignment horizontal="center" vertical="center"/>
      <protection locked="0"/>
    </xf>
    <xf numFmtId="181" fontId="57" fillId="21" borderId="5" xfId="0" applyNumberFormat="1" applyFont="1" applyFill="1" applyBorder="1" applyAlignment="1">
      <alignment horizontal="center" vertical="center"/>
    </xf>
    <xf numFmtId="195" fontId="65" fillId="15" borderId="6" xfId="0" applyNumberFormat="1" applyFont="1" applyFill="1" applyBorder="1" applyAlignment="1" applyProtection="1">
      <alignment horizontal="center" vertical="center"/>
      <protection locked="0"/>
    </xf>
    <xf numFmtId="195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57" fillId="17" borderId="5" xfId="0" applyNumberFormat="1" applyFont="1" applyFill="1" applyBorder="1" applyAlignment="1">
      <alignment horizontal="center" vertical="center"/>
    </xf>
    <xf numFmtId="181" fontId="65" fillId="16" borderId="18" xfId="0" applyNumberFormat="1" applyFont="1" applyFill="1" applyBorder="1" applyAlignment="1" applyProtection="1">
      <alignment horizontal="center" vertical="center"/>
      <protection locked="0"/>
    </xf>
    <xf numFmtId="181" fontId="65" fillId="16" borderId="5" xfId="0" applyNumberFormat="1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181" fontId="55" fillId="0" borderId="0" xfId="0" applyNumberFormat="1" applyFont="1" applyAlignment="1" applyProtection="1">
      <alignment horizontal="center" vertical="center"/>
      <protection locked="0"/>
    </xf>
    <xf numFmtId="195" fontId="57" fillId="20" borderId="6" xfId="0" applyNumberFormat="1" applyFont="1" applyFill="1" applyBorder="1" applyAlignment="1">
      <alignment horizontal="center" vertical="center"/>
    </xf>
    <xf numFmtId="195" fontId="57" fillId="20" borderId="34" xfId="0" applyNumberFormat="1" applyFont="1" applyFill="1" applyBorder="1" applyAlignment="1">
      <alignment horizontal="center" vertical="center"/>
    </xf>
    <xf numFmtId="181" fontId="57" fillId="17" borderId="1" xfId="0" applyNumberFormat="1" applyFont="1" applyFill="1" applyBorder="1" applyAlignment="1">
      <alignment horizontal="center" vertical="center"/>
    </xf>
    <xf numFmtId="181" fontId="57" fillId="17" borderId="0" xfId="0" applyNumberFormat="1" applyFont="1" applyFill="1" applyAlignment="1">
      <alignment horizontal="center" vertical="center"/>
    </xf>
    <xf numFmtId="0" fontId="55" fillId="16" borderId="5" xfId="0" applyFont="1" applyFill="1" applyBorder="1" applyAlignment="1" applyProtection="1">
      <alignment horizontal="center" vertical="center"/>
      <protection locked="0"/>
    </xf>
    <xf numFmtId="0" fontId="85" fillId="18" borderId="5" xfId="0" applyFont="1" applyFill="1" applyBorder="1" applyAlignment="1" applyProtection="1">
      <alignment horizontal="center" vertical="center"/>
      <protection locked="0"/>
    </xf>
    <xf numFmtId="0" fontId="86" fillId="15" borderId="5" xfId="0" applyFont="1" applyFill="1" applyBorder="1" applyAlignment="1" applyProtection="1">
      <alignment horizontal="center" vertical="center"/>
      <protection locked="0"/>
    </xf>
    <xf numFmtId="184" fontId="65" fillId="15" borderId="6" xfId="0" applyNumberFormat="1" applyFont="1" applyFill="1" applyBorder="1" applyAlignment="1" applyProtection="1">
      <alignment horizontal="center" vertical="center"/>
      <protection locked="0"/>
    </xf>
    <xf numFmtId="184" fontId="65" fillId="15" borderId="4" xfId="0" applyNumberFormat="1" applyFont="1" applyFill="1" applyBorder="1" applyAlignment="1" applyProtection="1">
      <alignment horizontal="center" vertical="center"/>
      <protection locked="0"/>
    </xf>
    <xf numFmtId="184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57" fillId="20" borderId="8" xfId="0" applyFont="1" applyFill="1" applyBorder="1" applyAlignment="1">
      <alignment horizontal="center" vertical="center"/>
    </xf>
    <xf numFmtId="0" fontId="57" fillId="20" borderId="50" xfId="0" applyFont="1" applyFill="1" applyBorder="1" applyAlignment="1">
      <alignment horizontal="center" vertical="center"/>
    </xf>
    <xf numFmtId="0" fontId="72" fillId="16" borderId="31" xfId="0" applyFont="1" applyFill="1" applyBorder="1" applyAlignment="1" applyProtection="1">
      <alignment horizontal="center" vertical="center"/>
      <protection locked="0"/>
    </xf>
    <xf numFmtId="0" fontId="72" fillId="16" borderId="68" xfId="0" applyFont="1" applyFill="1" applyBorder="1" applyAlignment="1" applyProtection="1">
      <alignment horizontal="center" vertical="center"/>
      <protection locked="0"/>
    </xf>
    <xf numFmtId="0" fontId="72" fillId="16" borderId="5" xfId="0" applyFont="1" applyFill="1" applyBorder="1" applyAlignment="1" applyProtection="1">
      <alignment horizontal="center" vertical="center"/>
      <protection locked="0"/>
    </xf>
    <xf numFmtId="0" fontId="72" fillId="16" borderId="39" xfId="0" applyFont="1" applyFill="1" applyBorder="1" applyAlignment="1" applyProtection="1">
      <alignment horizontal="center" vertical="center"/>
      <protection locked="0"/>
    </xf>
    <xf numFmtId="0" fontId="73" fillId="16" borderId="31" xfId="0" applyFont="1" applyFill="1" applyBorder="1" applyAlignment="1" applyProtection="1">
      <alignment horizontal="center" vertical="center"/>
      <protection locked="0"/>
    </xf>
    <xf numFmtId="0" fontId="73" fillId="16" borderId="5" xfId="0" applyFont="1" applyFill="1" applyBorder="1" applyAlignment="1" applyProtection="1">
      <alignment horizontal="center" vertical="center"/>
      <protection locked="0"/>
    </xf>
    <xf numFmtId="0" fontId="65" fillId="16" borderId="7" xfId="0" applyFont="1" applyFill="1" applyBorder="1" applyAlignment="1" applyProtection="1">
      <alignment horizontal="center" vertical="center"/>
      <protection locked="0"/>
    </xf>
    <xf numFmtId="189" fontId="66" fillId="17" borderId="17" xfId="0" applyNumberFormat="1" applyFont="1" applyFill="1" applyBorder="1" applyAlignment="1">
      <alignment horizontal="center" vertical="center"/>
    </xf>
    <xf numFmtId="0" fontId="66" fillId="17" borderId="18" xfId="0" applyFont="1" applyFill="1" applyBorder="1" applyAlignment="1">
      <alignment horizontal="center" vertical="center"/>
    </xf>
    <xf numFmtId="0" fontId="65" fillId="16" borderId="10" xfId="0" applyFont="1" applyFill="1" applyBorder="1" applyAlignment="1" applyProtection="1">
      <alignment horizontal="center" vertical="center" wrapText="1"/>
      <protection locked="0"/>
    </xf>
    <xf numFmtId="0" fontId="65" fillId="16" borderId="12" xfId="0" applyFont="1" applyFill="1" applyBorder="1" applyAlignment="1" applyProtection="1">
      <alignment horizontal="center" vertical="center" wrapText="1"/>
      <protection locked="0"/>
    </xf>
    <xf numFmtId="0" fontId="65" fillId="16" borderId="11" xfId="0" applyFont="1" applyFill="1" applyBorder="1" applyAlignment="1" applyProtection="1">
      <alignment horizontal="center" vertical="center" wrapText="1"/>
      <protection locked="0"/>
    </xf>
    <xf numFmtId="189" fontId="57" fillId="17" borderId="5" xfId="0" applyNumberFormat="1" applyFont="1" applyFill="1" applyBorder="1" applyAlignment="1">
      <alignment horizontal="center" vertical="center"/>
    </xf>
    <xf numFmtId="0" fontId="65" fillId="16" borderId="19" xfId="0" applyFont="1" applyFill="1" applyBorder="1" applyAlignment="1" applyProtection="1">
      <alignment horizontal="center" vertical="center"/>
      <protection locked="0"/>
    </xf>
    <xf numFmtId="189" fontId="65" fillId="15" borderId="22" xfId="0" applyNumberFormat="1" applyFont="1" applyFill="1" applyBorder="1" applyAlignment="1" applyProtection="1">
      <alignment horizontal="center" vertical="center"/>
      <protection locked="0"/>
    </xf>
    <xf numFmtId="189" fontId="65" fillId="15" borderId="25" xfId="0" applyNumberFormat="1" applyFont="1" applyFill="1" applyBorder="1" applyAlignment="1" applyProtection="1">
      <alignment horizontal="center" vertical="center"/>
      <protection locked="0"/>
    </xf>
    <xf numFmtId="0" fontId="65" fillId="16" borderId="20" xfId="0" applyFont="1" applyFill="1" applyBorder="1" applyAlignment="1" applyProtection="1">
      <alignment horizontal="center" vertical="center"/>
      <protection locked="0"/>
    </xf>
    <xf numFmtId="0" fontId="65" fillId="16" borderId="21" xfId="0" applyFont="1" applyFill="1" applyBorder="1" applyAlignment="1" applyProtection="1">
      <alignment horizontal="center" vertical="center"/>
      <protection locked="0"/>
    </xf>
    <xf numFmtId="0" fontId="65" fillId="16" borderId="23" xfId="0" applyFont="1" applyFill="1" applyBorder="1" applyAlignment="1" applyProtection="1">
      <alignment horizontal="center" vertical="center"/>
      <protection locked="0"/>
    </xf>
    <xf numFmtId="0" fontId="65" fillId="16" borderId="24" xfId="0" applyFont="1" applyFill="1" applyBorder="1" applyAlignment="1" applyProtection="1">
      <alignment horizontal="center" vertical="center"/>
      <protection locked="0"/>
    </xf>
    <xf numFmtId="187" fontId="57" fillId="17" borderId="5" xfId="0" applyNumberFormat="1" applyFont="1" applyFill="1" applyBorder="1" applyAlignment="1">
      <alignment horizontal="center" vertical="center"/>
    </xf>
    <xf numFmtId="0" fontId="59" fillId="17" borderId="5" xfId="0" applyFont="1" applyFill="1" applyBorder="1" applyAlignment="1">
      <alignment horizontal="center" vertical="center"/>
    </xf>
    <xf numFmtId="187" fontId="57" fillId="17" borderId="5" xfId="0" applyNumberFormat="1" applyFont="1" applyFill="1" applyBorder="1" applyAlignment="1">
      <alignment horizontal="right" vertical="center"/>
    </xf>
    <xf numFmtId="187" fontId="57" fillId="17" borderId="17" xfId="0" applyNumberFormat="1" applyFont="1" applyFill="1" applyBorder="1" applyAlignment="1">
      <alignment horizontal="right" vertical="center"/>
    </xf>
    <xf numFmtId="0" fontId="57" fillId="17" borderId="1" xfId="0" applyFont="1" applyFill="1" applyBorder="1" applyAlignment="1">
      <alignment horizontal="center" vertical="center"/>
    </xf>
    <xf numFmtId="0" fontId="57" fillId="17" borderId="0" xfId="0" applyFont="1" applyFill="1" applyAlignment="1">
      <alignment horizontal="center" vertical="center"/>
    </xf>
    <xf numFmtId="181" fontId="57" fillId="20" borderId="8" xfId="0" applyNumberFormat="1" applyFont="1" applyFill="1" applyBorder="1" applyAlignment="1">
      <alignment horizontal="center" vertical="center"/>
    </xf>
    <xf numFmtId="181" fontId="57" fillId="20" borderId="50" xfId="0" applyNumberFormat="1" applyFont="1" applyFill="1" applyBorder="1" applyAlignment="1">
      <alignment horizontal="center" vertical="center"/>
    </xf>
    <xf numFmtId="0" fontId="65" fillId="7" borderId="6" xfId="0" applyFont="1" applyFill="1" applyBorder="1" applyAlignment="1" applyProtection="1">
      <alignment horizontal="center" vertical="top"/>
      <protection locked="0"/>
    </xf>
    <xf numFmtId="0" fontId="65" fillId="7" borderId="7" xfId="0" applyFont="1" applyFill="1" applyBorder="1" applyAlignment="1" applyProtection="1">
      <alignment horizontal="center" vertical="top"/>
      <protection locked="0"/>
    </xf>
    <xf numFmtId="179" fontId="57" fillId="17" borderId="6" xfId="0" applyNumberFormat="1" applyFont="1" applyFill="1" applyBorder="1" applyAlignment="1">
      <alignment horizontal="center" vertical="center"/>
    </xf>
    <xf numFmtId="179" fontId="57" fillId="17" borderId="4" xfId="0" applyNumberFormat="1" applyFont="1" applyFill="1" applyBorder="1" applyAlignment="1">
      <alignment horizontal="center" vertical="center"/>
    </xf>
    <xf numFmtId="179" fontId="57" fillId="17" borderId="7" xfId="0" applyNumberFormat="1" applyFont="1" applyFill="1" applyBorder="1" applyAlignment="1">
      <alignment horizontal="center" vertical="center"/>
    </xf>
    <xf numFmtId="179" fontId="64" fillId="0" borderId="0" xfId="0" applyNumberFormat="1" applyFont="1" applyAlignment="1" applyProtection="1">
      <alignment horizontal="center" vertical="center"/>
      <protection locked="0"/>
    </xf>
    <xf numFmtId="180" fontId="64" fillId="0" borderId="0" xfId="0" applyNumberFormat="1" applyFont="1" applyAlignment="1" applyProtection="1">
      <alignment horizontal="center" vertical="center"/>
      <protection locked="0"/>
    </xf>
    <xf numFmtId="179" fontId="52" fillId="0" borderId="0" xfId="0" applyNumberFormat="1" applyFont="1" applyAlignment="1" applyProtection="1">
      <alignment horizontal="center" vertical="center"/>
      <protection locked="0"/>
    </xf>
    <xf numFmtId="177" fontId="52" fillId="0" borderId="0" xfId="0" applyNumberFormat="1" applyFont="1" applyAlignment="1" applyProtection="1">
      <alignment horizontal="center" vertical="center"/>
      <protection locked="0"/>
    </xf>
    <xf numFmtId="189" fontId="55" fillId="0" borderId="0" xfId="0" applyNumberFormat="1" applyFont="1" applyAlignment="1" applyProtection="1">
      <alignment horizontal="center" vertical="center"/>
      <protection locked="0"/>
    </xf>
    <xf numFmtId="2" fontId="55" fillId="0" borderId="0" xfId="0" applyNumberFormat="1" applyFont="1" applyAlignment="1" applyProtection="1">
      <alignment horizontal="center" vertical="center"/>
      <protection locked="0"/>
    </xf>
    <xf numFmtId="191" fontId="55" fillId="0" borderId="0" xfId="0" applyNumberFormat="1" applyFont="1" applyAlignment="1" applyProtection="1">
      <alignment horizontal="center" vertical="center"/>
      <protection locked="0"/>
    </xf>
    <xf numFmtId="195" fontId="57" fillId="20" borderId="8" xfId="0" applyNumberFormat="1" applyFont="1" applyFill="1" applyBorder="1" applyAlignment="1">
      <alignment horizontal="center" vertical="center"/>
    </xf>
    <xf numFmtId="195" fontId="57" fillId="20" borderId="50" xfId="0" applyNumberFormat="1" applyFont="1" applyFill="1" applyBorder="1" applyAlignment="1">
      <alignment horizontal="center" vertical="center"/>
    </xf>
    <xf numFmtId="0" fontId="57" fillId="20" borderId="6" xfId="0" applyFont="1" applyFill="1" applyBorder="1" applyAlignment="1">
      <alignment horizontal="center" vertical="center"/>
    </xf>
    <xf numFmtId="0" fontId="57" fillId="20" borderId="34" xfId="0" applyFont="1" applyFill="1" applyBorder="1" applyAlignment="1">
      <alignment horizontal="center" vertical="center"/>
    </xf>
    <xf numFmtId="177" fontId="57" fillId="17" borderId="5" xfId="0" applyNumberFormat="1" applyFont="1" applyFill="1" applyBorder="1" applyAlignment="1">
      <alignment horizontal="center" vertical="center"/>
    </xf>
    <xf numFmtId="0" fontId="57" fillId="15" borderId="5" xfId="0" applyFont="1" applyFill="1" applyBorder="1" applyAlignment="1" applyProtection="1">
      <alignment horizontal="center" vertical="center"/>
      <protection locked="0"/>
    </xf>
    <xf numFmtId="181" fontId="77" fillId="0" borderId="0" xfId="0" applyNumberFormat="1" applyFont="1" applyAlignment="1" applyProtection="1">
      <alignment horizontal="center" vertical="center" shrinkToFit="1"/>
      <protection locked="0"/>
    </xf>
    <xf numFmtId="177" fontId="57" fillId="20" borderId="5" xfId="0" applyNumberFormat="1" applyFont="1" applyFill="1" applyBorder="1" applyAlignment="1">
      <alignment horizontal="center" vertical="center"/>
    </xf>
    <xf numFmtId="177" fontId="57" fillId="20" borderId="39" xfId="0" applyNumberFormat="1" applyFont="1" applyFill="1" applyBorder="1" applyAlignment="1">
      <alignment horizontal="center" vertical="center"/>
    </xf>
    <xf numFmtId="0" fontId="65" fillId="15" borderId="17" xfId="0" applyFont="1" applyFill="1" applyBorder="1" applyAlignment="1" applyProtection="1">
      <alignment horizontal="center" vertical="center"/>
      <protection locked="0"/>
    </xf>
    <xf numFmtId="183" fontId="57" fillId="20" borderId="9" xfId="0" applyNumberFormat="1" applyFont="1" applyFill="1" applyBorder="1" applyAlignment="1">
      <alignment horizontal="center" vertical="center"/>
    </xf>
    <xf numFmtId="183" fontId="57" fillId="20" borderId="11" xfId="0" applyNumberFormat="1" applyFont="1" applyFill="1" applyBorder="1" applyAlignment="1">
      <alignment horizontal="center" vertical="center"/>
    </xf>
    <xf numFmtId="0" fontId="65" fillId="16" borderId="18" xfId="0" applyFont="1" applyFill="1" applyBorder="1" applyAlignment="1" applyProtection="1">
      <alignment horizontal="center" vertical="center"/>
      <protection locked="0"/>
    </xf>
    <xf numFmtId="177" fontId="57" fillId="17" borderId="5" xfId="0" applyNumberFormat="1" applyFont="1" applyFill="1" applyBorder="1" applyAlignment="1">
      <alignment horizontal="center" vertical="center" shrinkToFit="1"/>
    </xf>
    <xf numFmtId="177" fontId="57" fillId="20" borderId="8" xfId="0" applyNumberFormat="1" applyFont="1" applyFill="1" applyBorder="1" applyAlignment="1">
      <alignment horizontal="center" vertical="center"/>
    </xf>
    <xf numFmtId="177" fontId="57" fillId="20" borderId="50" xfId="0" applyNumberFormat="1" applyFont="1" applyFill="1" applyBorder="1" applyAlignment="1">
      <alignment horizontal="center" vertical="center"/>
    </xf>
    <xf numFmtId="183" fontId="57" fillId="17" borderId="86" xfId="0" applyNumberFormat="1" applyFont="1" applyFill="1" applyBorder="1" applyAlignment="1">
      <alignment horizontal="center" vertical="center"/>
    </xf>
    <xf numFmtId="183" fontId="57" fillId="17" borderId="42" xfId="0" applyNumberFormat="1" applyFont="1" applyFill="1" applyBorder="1" applyAlignment="1">
      <alignment horizontal="center" vertical="center"/>
    </xf>
    <xf numFmtId="183" fontId="57" fillId="17" borderId="91" xfId="0" applyNumberFormat="1" applyFont="1" applyFill="1" applyBorder="1" applyAlignment="1">
      <alignment horizontal="center" vertical="center"/>
    </xf>
    <xf numFmtId="183" fontId="57" fillId="20" borderId="8" xfId="0" applyNumberFormat="1" applyFont="1" applyFill="1" applyBorder="1" applyAlignment="1">
      <alignment horizontal="center" vertical="center"/>
    </xf>
    <xf numFmtId="183" fontId="57" fillId="20" borderId="50" xfId="0" applyNumberFormat="1" applyFont="1" applyFill="1" applyBorder="1" applyAlignment="1">
      <alignment horizontal="center" vertical="center"/>
    </xf>
    <xf numFmtId="0" fontId="57" fillId="16" borderId="5" xfId="1" applyFont="1" applyFill="1" applyBorder="1" applyAlignment="1" applyProtection="1">
      <alignment horizontal="center" vertical="center" shrinkToFit="1"/>
      <protection locked="0"/>
    </xf>
    <xf numFmtId="0" fontId="67" fillId="18" borderId="6" xfId="0" applyFont="1" applyFill="1" applyBorder="1" applyAlignment="1" applyProtection="1">
      <alignment horizontal="center" vertical="center"/>
      <protection locked="0"/>
    </xf>
    <xf numFmtId="0" fontId="67" fillId="18" borderId="7" xfId="0" applyFont="1" applyFill="1" applyBorder="1" applyAlignment="1" applyProtection="1">
      <alignment horizontal="center" vertical="center"/>
      <protection locked="0"/>
    </xf>
    <xf numFmtId="0" fontId="67" fillId="18" borderId="5" xfId="0" applyFont="1" applyFill="1" applyBorder="1" applyAlignment="1" applyProtection="1">
      <alignment horizontal="center" vertical="center"/>
      <protection locked="0"/>
    </xf>
    <xf numFmtId="0" fontId="65" fillId="16" borderId="8" xfId="0" applyFont="1" applyFill="1" applyBorder="1" applyAlignment="1" applyProtection="1">
      <alignment horizontal="center" vertical="center"/>
      <protection locked="0"/>
    </xf>
    <xf numFmtId="0" fontId="65" fillId="16" borderId="3" xfId="0" applyFont="1" applyFill="1" applyBorder="1" applyAlignment="1" applyProtection="1">
      <alignment horizontal="center" vertical="center"/>
      <protection locked="0"/>
    </xf>
    <xf numFmtId="0" fontId="65" fillId="16" borderId="10" xfId="0" applyFont="1" applyFill="1" applyBorder="1" applyAlignment="1" applyProtection="1">
      <alignment horizontal="center" vertical="center"/>
      <protection locked="0"/>
    </xf>
    <xf numFmtId="0" fontId="65" fillId="16" borderId="9" xfId="0" applyFont="1" applyFill="1" applyBorder="1" applyAlignment="1" applyProtection="1">
      <alignment horizontal="center" vertical="center"/>
      <protection locked="0"/>
    </xf>
    <xf numFmtId="0" fontId="65" fillId="16" borderId="2" xfId="0" applyFont="1" applyFill="1" applyBorder="1" applyAlignment="1" applyProtection="1">
      <alignment horizontal="center" vertical="center"/>
      <protection locked="0"/>
    </xf>
    <xf numFmtId="0" fontId="65" fillId="16" borderId="11" xfId="0" applyFont="1" applyFill="1" applyBorder="1" applyAlignment="1" applyProtection="1">
      <alignment horizontal="center" vertical="center"/>
      <protection locked="0"/>
    </xf>
    <xf numFmtId="183" fontId="65" fillId="15" borderId="5" xfId="0" applyNumberFormat="1" applyFont="1" applyFill="1" applyBorder="1" applyAlignment="1" applyProtection="1">
      <alignment horizontal="center" vertical="center"/>
      <protection locked="0"/>
    </xf>
    <xf numFmtId="181" fontId="57" fillId="21" borderId="8" xfId="0" applyNumberFormat="1" applyFont="1" applyFill="1" applyBorder="1" applyAlignment="1">
      <alignment horizontal="center" vertical="center"/>
    </xf>
    <xf numFmtId="181" fontId="57" fillId="21" borderId="50" xfId="0" applyNumberFormat="1" applyFont="1" applyFill="1" applyBorder="1" applyAlignment="1">
      <alignment horizontal="center" vertical="center"/>
    </xf>
    <xf numFmtId="189" fontId="57" fillId="15" borderId="5" xfId="0" applyNumberFormat="1" applyFont="1" applyFill="1" applyBorder="1" applyAlignment="1" applyProtection="1">
      <alignment horizontal="center" vertical="center"/>
      <protection locked="0"/>
    </xf>
    <xf numFmtId="195" fontId="65" fillId="17" borderId="5" xfId="0" applyNumberFormat="1" applyFont="1" applyFill="1" applyBorder="1" applyAlignment="1">
      <alignment horizontal="center" vertical="center"/>
    </xf>
    <xf numFmtId="0" fontId="65" fillId="16" borderId="86" xfId="0" applyFont="1" applyFill="1" applyBorder="1" applyAlignment="1" applyProtection="1">
      <alignment horizontal="center" vertical="center" wrapText="1"/>
      <protection locked="0"/>
    </xf>
    <xf numFmtId="0" fontId="65" fillId="16" borderId="42" xfId="0" applyFont="1" applyFill="1" applyBorder="1" applyAlignment="1" applyProtection="1">
      <alignment horizontal="center" vertical="center"/>
      <protection locked="0"/>
    </xf>
    <xf numFmtId="0" fontId="65" fillId="16" borderId="84" xfId="0" applyFont="1" applyFill="1" applyBorder="1" applyAlignment="1" applyProtection="1">
      <alignment horizontal="center" vertical="center"/>
      <protection locked="0"/>
    </xf>
    <xf numFmtId="181" fontId="57" fillId="17" borderId="76" xfId="0" applyNumberFormat="1" applyFont="1" applyFill="1" applyBorder="1" applyAlignment="1">
      <alignment horizontal="center" vertical="center"/>
    </xf>
    <xf numFmtId="0" fontId="65" fillId="16" borderId="47" xfId="0" applyFont="1" applyFill="1" applyBorder="1" applyAlignment="1" applyProtection="1">
      <alignment horizontal="center" vertical="center" wrapText="1"/>
      <protection locked="0"/>
    </xf>
    <xf numFmtId="0" fontId="65" fillId="16" borderId="48" xfId="0" applyFont="1" applyFill="1" applyBorder="1" applyAlignment="1" applyProtection="1">
      <alignment horizontal="center" vertical="center" wrapText="1"/>
      <protection locked="0"/>
    </xf>
    <xf numFmtId="0" fontId="65" fillId="16" borderId="75" xfId="0" applyFont="1" applyFill="1" applyBorder="1" applyAlignment="1" applyProtection="1">
      <alignment horizontal="center" vertical="center" wrapText="1"/>
      <protection locked="0"/>
    </xf>
    <xf numFmtId="181" fontId="57" fillId="17" borderId="47" xfId="0" applyNumberFormat="1" applyFont="1" applyFill="1" applyBorder="1" applyAlignment="1">
      <alignment horizontal="center" vertical="center"/>
    </xf>
    <xf numFmtId="181" fontId="57" fillId="17" borderId="75" xfId="0" applyNumberFormat="1" applyFont="1" applyFill="1" applyBorder="1" applyAlignment="1">
      <alignment horizontal="center" vertical="center"/>
    </xf>
    <xf numFmtId="0" fontId="65" fillId="16" borderId="27" xfId="0" applyFont="1" applyFill="1" applyBorder="1" applyAlignment="1" applyProtection="1">
      <alignment horizontal="center" vertical="center"/>
      <protection locked="0"/>
    </xf>
    <xf numFmtId="0" fontId="65" fillId="16" borderId="26" xfId="0" applyFont="1" applyFill="1" applyBorder="1" applyAlignment="1" applyProtection="1">
      <alignment horizontal="center" vertical="center"/>
      <protection locked="0"/>
    </xf>
    <xf numFmtId="0" fontId="71" fillId="16" borderId="8" xfId="0" applyFont="1" applyFill="1" applyBorder="1" applyAlignment="1" applyProtection="1">
      <alignment horizontal="left" vertical="center"/>
      <protection locked="0"/>
    </xf>
    <xf numFmtId="0" fontId="71" fillId="16" borderId="3" xfId="0" applyFont="1" applyFill="1" applyBorder="1" applyAlignment="1" applyProtection="1">
      <alignment horizontal="left" vertical="center"/>
      <protection locked="0"/>
    </xf>
    <xf numFmtId="0" fontId="71" fillId="16" borderId="10" xfId="0" applyFont="1" applyFill="1" applyBorder="1" applyAlignment="1" applyProtection="1">
      <alignment horizontal="left" vertical="center"/>
      <protection locked="0"/>
    </xf>
    <xf numFmtId="0" fontId="71" fillId="16" borderId="9" xfId="0" applyFont="1" applyFill="1" applyBorder="1" applyAlignment="1" applyProtection="1">
      <alignment horizontal="left" vertical="center"/>
      <protection locked="0"/>
    </xf>
    <xf numFmtId="0" fontId="71" fillId="16" borderId="2" xfId="0" applyFont="1" applyFill="1" applyBorder="1" applyAlignment="1" applyProtection="1">
      <alignment horizontal="left" vertical="center"/>
      <protection locked="0"/>
    </xf>
    <xf numFmtId="0" fontId="71" fillId="16" borderId="11" xfId="0" applyFont="1" applyFill="1" applyBorder="1" applyAlignment="1" applyProtection="1">
      <alignment horizontal="left" vertical="center"/>
      <protection locked="0"/>
    </xf>
    <xf numFmtId="0" fontId="65" fillId="16" borderId="18" xfId="0" applyFont="1" applyFill="1" applyBorder="1" applyAlignment="1" applyProtection="1">
      <alignment horizontal="center" vertical="center" wrapText="1"/>
      <protection locked="0"/>
    </xf>
    <xf numFmtId="0" fontId="65" fillId="16" borderId="19" xfId="0" applyFont="1" applyFill="1" applyBorder="1" applyAlignment="1" applyProtection="1">
      <alignment horizontal="center" vertical="center" wrapText="1"/>
      <protection locked="0"/>
    </xf>
    <xf numFmtId="0" fontId="90" fillId="17" borderId="10" xfId="0" applyFont="1" applyFill="1" applyBorder="1" applyAlignment="1" applyProtection="1">
      <alignment horizontal="center" vertical="center"/>
      <protection locked="0"/>
    </xf>
    <xf numFmtId="0" fontId="90" fillId="17" borderId="11" xfId="0" applyFont="1" applyFill="1" applyBorder="1" applyAlignment="1" applyProtection="1">
      <alignment horizontal="center" vertical="center"/>
      <protection locked="0"/>
    </xf>
    <xf numFmtId="0" fontId="65" fillId="16" borderId="17" xfId="0" applyFont="1" applyFill="1" applyBorder="1" applyAlignment="1" applyProtection="1">
      <alignment horizontal="center" vertical="center"/>
      <protection locked="0"/>
    </xf>
    <xf numFmtId="0" fontId="65" fillId="16" borderId="80" xfId="0" applyFont="1" applyFill="1" applyBorder="1" applyAlignment="1" applyProtection="1">
      <alignment horizontal="center" vertical="center"/>
      <protection locked="0"/>
    </xf>
    <xf numFmtId="0" fontId="63" fillId="0" borderId="0" xfId="0" applyFont="1" applyAlignment="1" applyProtection="1">
      <alignment horizontal="center" vertical="center"/>
      <protection locked="0"/>
    </xf>
    <xf numFmtId="180" fontId="57" fillId="17" borderId="5" xfId="0" applyNumberFormat="1" applyFont="1" applyFill="1" applyBorder="1" applyAlignment="1">
      <alignment horizontal="center" vertical="center"/>
    </xf>
    <xf numFmtId="0" fontId="69" fillId="16" borderId="5" xfId="0" applyFont="1" applyFill="1" applyBorder="1" applyAlignment="1" applyProtection="1">
      <alignment horizontal="center" vertical="center"/>
      <protection locked="0"/>
    </xf>
    <xf numFmtId="0" fontId="57" fillId="15" borderId="6" xfId="1" applyFont="1" applyFill="1" applyBorder="1" applyAlignment="1" applyProtection="1">
      <alignment horizontal="center" vertical="center"/>
      <protection locked="0"/>
    </xf>
    <xf numFmtId="0" fontId="57" fillId="15" borderId="7" xfId="1" applyFont="1" applyFill="1" applyBorder="1" applyAlignment="1" applyProtection="1">
      <alignment horizontal="center" vertical="center"/>
      <protection locked="0"/>
    </xf>
    <xf numFmtId="0" fontId="57" fillId="15" borderId="5" xfId="1" applyFont="1" applyFill="1" applyBorder="1" applyAlignment="1" applyProtection="1">
      <alignment horizontal="center" vertical="center" shrinkToFit="1"/>
      <protection locked="0"/>
    </xf>
    <xf numFmtId="183" fontId="57" fillId="15" borderId="5" xfId="1" applyNumberFormat="1" applyFont="1" applyFill="1" applyBorder="1" applyAlignment="1" applyProtection="1">
      <alignment horizontal="center" vertical="center" shrinkToFit="1"/>
      <protection locked="0"/>
    </xf>
    <xf numFmtId="0" fontId="66" fillId="16" borderId="17" xfId="0" applyFont="1" applyFill="1" applyBorder="1" applyAlignment="1" applyProtection="1">
      <alignment horizontal="center" vertical="center"/>
      <protection locked="0"/>
    </xf>
    <xf numFmtId="0" fontId="66" fillId="16" borderId="18" xfId="0" applyFont="1" applyFill="1" applyBorder="1" applyAlignment="1" applyProtection="1">
      <alignment horizontal="center" vertical="center"/>
      <protection locked="0"/>
    </xf>
    <xf numFmtId="183" fontId="65" fillId="15" borderId="6" xfId="0" applyNumberFormat="1" applyFont="1" applyFill="1" applyBorder="1" applyAlignment="1" applyProtection="1">
      <alignment horizontal="center" vertical="center"/>
      <protection locked="0"/>
    </xf>
    <xf numFmtId="183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6" borderId="6" xfId="0" applyFont="1" applyFill="1" applyBorder="1" applyAlignment="1" applyProtection="1">
      <alignment horizontal="center" vertical="center"/>
      <protection locked="0"/>
    </xf>
    <xf numFmtId="0" fontId="65" fillId="16" borderId="4" xfId="0" applyFont="1" applyFill="1" applyBorder="1" applyAlignment="1" applyProtection="1">
      <alignment horizontal="center" vertical="center"/>
      <protection locked="0"/>
    </xf>
    <xf numFmtId="0" fontId="66" fillId="16" borderId="10" xfId="0" applyFont="1" applyFill="1" applyBorder="1" applyAlignment="1" applyProtection="1">
      <alignment horizontal="center" vertical="center"/>
      <protection locked="0"/>
    </xf>
    <xf numFmtId="0" fontId="66" fillId="16" borderId="11" xfId="0" applyFont="1" applyFill="1" applyBorder="1" applyAlignment="1" applyProtection="1">
      <alignment horizontal="center" vertical="center"/>
      <protection locked="0"/>
    </xf>
    <xf numFmtId="0" fontId="66" fillId="17" borderId="6" xfId="0" applyFont="1" applyFill="1" applyBorder="1" applyAlignment="1">
      <alignment horizontal="center" vertical="center"/>
    </xf>
    <xf numFmtId="0" fontId="66" fillId="17" borderId="4" xfId="0" applyFont="1" applyFill="1" applyBorder="1" applyAlignment="1">
      <alignment horizontal="center" vertical="center"/>
    </xf>
    <xf numFmtId="0" fontId="66" fillId="17" borderId="7" xfId="0" applyFont="1" applyFill="1" applyBorder="1" applyAlignment="1">
      <alignment horizontal="center" vertical="center"/>
    </xf>
    <xf numFmtId="0" fontId="57" fillId="16" borderId="6" xfId="1" applyFont="1" applyFill="1" applyBorder="1" applyAlignment="1" applyProtection="1">
      <alignment horizontal="center" vertical="center" shrinkToFit="1"/>
      <protection locked="0"/>
    </xf>
    <xf numFmtId="0" fontId="57" fillId="16" borderId="7" xfId="1" applyFont="1" applyFill="1" applyBorder="1" applyAlignment="1" applyProtection="1">
      <alignment horizontal="center" vertical="center" shrinkToFit="1"/>
      <protection locked="0"/>
    </xf>
    <xf numFmtId="0" fontId="65" fillId="16" borderId="85" xfId="0" applyFont="1" applyFill="1" applyBorder="1" applyAlignment="1" applyProtection="1">
      <alignment horizontal="center" vertical="center"/>
      <protection locked="0"/>
    </xf>
    <xf numFmtId="0" fontId="65" fillId="16" borderId="32" xfId="0" applyFont="1" applyFill="1" applyBorder="1" applyAlignment="1" applyProtection="1">
      <alignment horizontal="center" vertical="center"/>
      <protection locked="0"/>
    </xf>
    <xf numFmtId="0" fontId="65" fillId="16" borderId="74" xfId="0" applyFont="1" applyFill="1" applyBorder="1" applyAlignment="1" applyProtection="1">
      <alignment horizontal="center" vertical="center"/>
      <protection locked="0"/>
    </xf>
    <xf numFmtId="0" fontId="65" fillId="16" borderId="1" xfId="0" applyFont="1" applyFill="1" applyBorder="1" applyAlignment="1" applyProtection="1">
      <alignment horizontal="center" vertical="center"/>
      <protection locked="0"/>
    </xf>
    <xf numFmtId="0" fontId="65" fillId="16" borderId="0" xfId="0" applyFont="1" applyFill="1" applyAlignment="1" applyProtection="1">
      <alignment horizontal="center" vertical="center"/>
      <protection locked="0"/>
    </xf>
    <xf numFmtId="0" fontId="65" fillId="16" borderId="12" xfId="0" applyFont="1" applyFill="1" applyBorder="1" applyAlignment="1" applyProtection="1">
      <alignment horizontal="center" vertical="center"/>
      <protection locked="0"/>
    </xf>
    <xf numFmtId="0" fontId="57" fillId="17" borderId="17" xfId="0" applyFont="1" applyFill="1" applyBorder="1" applyAlignment="1">
      <alignment horizontal="center" vertical="center"/>
    </xf>
    <xf numFmtId="0" fontId="57" fillId="17" borderId="5" xfId="0" applyFont="1" applyFill="1" applyBorder="1" applyAlignment="1">
      <alignment horizontal="center" vertical="center"/>
    </xf>
    <xf numFmtId="0" fontId="65" fillId="16" borderId="17" xfId="0" applyFont="1" applyFill="1" applyBorder="1" applyAlignment="1" applyProtection="1">
      <alignment horizontal="left" vertical="center"/>
      <protection locked="0"/>
    </xf>
    <xf numFmtId="0" fontId="57" fillId="17" borderId="18" xfId="0" applyFont="1" applyFill="1" applyBorder="1" applyAlignment="1">
      <alignment horizontal="center" vertical="center"/>
    </xf>
    <xf numFmtId="0" fontId="65" fillId="16" borderId="18" xfId="0" applyFont="1" applyFill="1" applyBorder="1" applyAlignment="1" applyProtection="1">
      <alignment horizontal="left" vertical="center"/>
      <protection locked="0"/>
    </xf>
    <xf numFmtId="0" fontId="65" fillId="16" borderId="5" xfId="0" applyFont="1" applyFill="1" applyBorder="1" applyAlignment="1" applyProtection="1">
      <alignment horizontal="left" vertical="center"/>
      <protection locked="0"/>
    </xf>
    <xf numFmtId="189" fontId="65" fillId="15" borderId="21" xfId="0" applyNumberFormat="1" applyFont="1" applyFill="1" applyBorder="1" applyAlignment="1" applyProtection="1">
      <alignment horizontal="center" vertical="center" shrinkToFit="1"/>
      <protection locked="0"/>
    </xf>
    <xf numFmtId="189" fontId="65" fillId="15" borderId="27" xfId="0" applyNumberFormat="1" applyFont="1" applyFill="1" applyBorder="1" applyAlignment="1" applyProtection="1">
      <alignment horizontal="center" vertical="center" shrinkToFit="1"/>
      <protection locked="0"/>
    </xf>
    <xf numFmtId="0" fontId="65" fillId="16" borderId="5" xfId="0" applyFont="1" applyFill="1" applyBorder="1" applyAlignment="1" applyProtection="1">
      <alignment horizontal="center" vertical="center" wrapText="1"/>
      <protection locked="0"/>
    </xf>
    <xf numFmtId="187" fontId="57" fillId="17" borderId="18" xfId="0" applyNumberFormat="1" applyFont="1" applyFill="1" applyBorder="1" applyAlignment="1">
      <alignment horizontal="center" vertical="center"/>
    </xf>
    <xf numFmtId="188" fontId="57" fillId="17" borderId="5" xfId="0" applyNumberFormat="1" applyFont="1" applyFill="1" applyBorder="1" applyAlignment="1">
      <alignment horizontal="right" vertical="center"/>
    </xf>
    <xf numFmtId="187" fontId="57" fillId="17" borderId="18" xfId="0" applyNumberFormat="1" applyFont="1" applyFill="1" applyBorder="1" applyAlignment="1">
      <alignment horizontal="right" vertical="center"/>
    </xf>
    <xf numFmtId="0" fontId="65" fillId="17" borderId="6" xfId="0" applyFont="1" applyFill="1" applyBorder="1" applyAlignment="1" applyProtection="1">
      <alignment horizontal="center" vertical="top"/>
      <protection locked="0"/>
    </xf>
    <xf numFmtId="0" fontId="65" fillId="17" borderId="7" xfId="0" applyFont="1" applyFill="1" applyBorder="1" applyAlignment="1" applyProtection="1">
      <alignment horizontal="center" vertical="top"/>
      <protection locked="0"/>
    </xf>
    <xf numFmtId="0" fontId="69" fillId="16" borderId="6" xfId="0" applyFont="1" applyFill="1" applyBorder="1" applyAlignment="1" applyProtection="1">
      <alignment horizontal="center" vertical="center"/>
      <protection locked="0"/>
    </xf>
    <xf numFmtId="0" fontId="69" fillId="16" borderId="4" xfId="0" applyFont="1" applyFill="1" applyBorder="1" applyAlignment="1" applyProtection="1">
      <alignment horizontal="center" vertical="center"/>
      <protection locked="0"/>
    </xf>
    <xf numFmtId="0" fontId="69" fillId="16" borderId="7" xfId="0" applyFont="1" applyFill="1" applyBorder="1" applyAlignment="1" applyProtection="1">
      <alignment horizontal="center" vertical="center"/>
      <protection locked="0"/>
    </xf>
    <xf numFmtId="0" fontId="64" fillId="17" borderId="5" xfId="0" applyFont="1" applyFill="1" applyBorder="1" applyAlignment="1" applyProtection="1">
      <alignment horizontal="center" vertical="center"/>
      <protection locked="0"/>
    </xf>
    <xf numFmtId="181" fontId="57" fillId="17" borderId="6" xfId="0" applyNumberFormat="1" applyFont="1" applyFill="1" applyBorder="1" applyAlignment="1">
      <alignment horizontal="center" vertical="center"/>
    </xf>
    <xf numFmtId="181" fontId="57" fillId="17" borderId="4" xfId="0" applyNumberFormat="1" applyFont="1" applyFill="1" applyBorder="1" applyAlignment="1">
      <alignment horizontal="center" vertical="center"/>
    </xf>
    <xf numFmtId="181" fontId="57" fillId="17" borderId="7" xfId="0" applyNumberFormat="1" applyFont="1" applyFill="1" applyBorder="1" applyAlignment="1">
      <alignment horizontal="center" vertical="center"/>
    </xf>
    <xf numFmtId="185" fontId="57" fillId="17" borderId="5" xfId="0" applyNumberFormat="1" applyFont="1" applyFill="1" applyBorder="1" applyAlignment="1">
      <alignment horizontal="center" vertical="center"/>
    </xf>
    <xf numFmtId="0" fontId="66" fillId="15" borderId="4" xfId="0" applyFont="1" applyFill="1" applyBorder="1" applyAlignment="1" applyProtection="1">
      <alignment horizontal="center" vertical="center"/>
      <protection locked="0"/>
    </xf>
    <xf numFmtId="0" fontId="66" fillId="15" borderId="7" xfId="0" applyFont="1" applyFill="1" applyBorder="1" applyAlignment="1" applyProtection="1">
      <alignment horizontal="center" vertical="center"/>
      <protection locked="0"/>
    </xf>
    <xf numFmtId="0" fontId="66" fillId="15" borderId="6" xfId="0" applyFont="1" applyFill="1" applyBorder="1" applyAlignment="1" applyProtection="1">
      <alignment horizontal="center" vertical="center"/>
      <protection locked="0"/>
    </xf>
    <xf numFmtId="180" fontId="65" fillId="15" borderId="6" xfId="0" applyNumberFormat="1" applyFont="1" applyFill="1" applyBorder="1" applyAlignment="1" applyProtection="1">
      <alignment horizontal="center" vertical="center"/>
      <protection locked="0"/>
    </xf>
    <xf numFmtId="180" fontId="65" fillId="15" borderId="4" xfId="0" applyNumberFormat="1" applyFont="1" applyFill="1" applyBorder="1" applyAlignment="1" applyProtection="1">
      <alignment horizontal="center" vertical="center"/>
      <protection locked="0"/>
    </xf>
    <xf numFmtId="180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57" fillId="17" borderId="21" xfId="0" applyNumberFormat="1" applyFont="1" applyFill="1" applyBorder="1" applyAlignment="1">
      <alignment horizontal="center" vertical="center"/>
    </xf>
    <xf numFmtId="181" fontId="57" fillId="17" borderId="24" xfId="0" applyNumberFormat="1" applyFont="1" applyFill="1" applyBorder="1" applyAlignment="1">
      <alignment horizontal="center" vertical="center"/>
    </xf>
    <xf numFmtId="191" fontId="65" fillId="15" borderId="5" xfId="0" applyNumberFormat="1" applyFont="1" applyFill="1" applyBorder="1" applyAlignment="1" applyProtection="1">
      <alignment horizontal="center" vertical="center"/>
      <protection locked="0"/>
    </xf>
    <xf numFmtId="185" fontId="57" fillId="15" borderId="5" xfId="0" applyNumberFormat="1" applyFont="1" applyFill="1" applyBorder="1" applyAlignment="1" applyProtection="1">
      <alignment horizontal="center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0" fontId="57" fillId="17" borderId="9" xfId="0" applyFont="1" applyFill="1" applyBorder="1" applyAlignment="1">
      <alignment horizontal="center" vertical="center"/>
    </xf>
    <xf numFmtId="0" fontId="57" fillId="17" borderId="2" xfId="0" applyFont="1" applyFill="1" applyBorder="1" applyAlignment="1">
      <alignment horizontal="center" vertical="center"/>
    </xf>
    <xf numFmtId="0" fontId="57" fillId="17" borderId="11" xfId="0" applyFont="1" applyFill="1" applyBorder="1" applyAlignment="1">
      <alignment horizontal="center" vertical="center"/>
    </xf>
    <xf numFmtId="0" fontId="65" fillId="15" borderId="21" xfId="0" applyFont="1" applyFill="1" applyBorder="1" applyAlignment="1" applyProtection="1">
      <alignment horizontal="center" vertical="center"/>
      <protection locked="0"/>
    </xf>
    <xf numFmtId="0" fontId="65" fillId="15" borderId="22" xfId="0" applyFont="1" applyFill="1" applyBorder="1" applyAlignment="1" applyProtection="1">
      <alignment horizontal="center" vertical="center"/>
      <protection locked="0"/>
    </xf>
    <xf numFmtId="0" fontId="65" fillId="15" borderId="24" xfId="0" applyFont="1" applyFill="1" applyBorder="1" applyAlignment="1" applyProtection="1">
      <alignment horizontal="center" vertical="center"/>
      <protection locked="0"/>
    </xf>
    <xf numFmtId="0" fontId="65" fillId="15" borderId="25" xfId="0" applyFont="1" applyFill="1" applyBorder="1" applyAlignment="1" applyProtection="1">
      <alignment horizontal="center" vertical="center"/>
      <protection locked="0"/>
    </xf>
    <xf numFmtId="0" fontId="57" fillId="16" borderId="8" xfId="1" applyFont="1" applyFill="1" applyBorder="1" applyAlignment="1" applyProtection="1">
      <alignment horizontal="center" vertical="center" shrinkToFit="1"/>
      <protection locked="0"/>
    </xf>
    <xf numFmtId="0" fontId="57" fillId="16" borderId="10" xfId="1" applyFont="1" applyFill="1" applyBorder="1" applyAlignment="1" applyProtection="1">
      <alignment horizontal="center" vertical="center" shrinkToFit="1"/>
      <protection locked="0"/>
    </xf>
    <xf numFmtId="183" fontId="57" fillId="15" borderId="6" xfId="1" applyNumberFormat="1" applyFont="1" applyFill="1" applyBorder="1" applyAlignment="1" applyProtection="1">
      <alignment horizontal="center" vertical="center" shrinkToFit="1"/>
      <protection locked="0"/>
    </xf>
    <xf numFmtId="183" fontId="57" fillId="15" borderId="7" xfId="1" applyNumberFormat="1" applyFont="1" applyFill="1" applyBorder="1" applyAlignment="1" applyProtection="1">
      <alignment horizontal="center" vertical="center" shrinkToFit="1"/>
      <protection locked="0"/>
    </xf>
    <xf numFmtId="0" fontId="55" fillId="0" borderId="1" xfId="0" applyFont="1" applyBorder="1" applyAlignment="1" applyProtection="1">
      <alignment horizontal="left" vertical="center" wrapText="1"/>
      <protection locked="0"/>
    </xf>
    <xf numFmtId="0" fontId="55" fillId="0" borderId="0" xfId="0" applyFont="1" applyAlignment="1" applyProtection="1">
      <alignment horizontal="left" vertical="center"/>
      <protection locked="0"/>
    </xf>
    <xf numFmtId="0" fontId="55" fillId="0" borderId="1" xfId="0" applyFont="1" applyBorder="1" applyAlignment="1" applyProtection="1">
      <alignment horizontal="left" vertical="center"/>
      <protection locked="0"/>
    </xf>
    <xf numFmtId="2" fontId="55" fillId="0" borderId="1" xfId="0" quotePrefix="1" applyNumberFormat="1" applyFont="1" applyBorder="1" applyAlignment="1" applyProtection="1">
      <alignment horizontal="center" vertical="center"/>
      <protection locked="0"/>
    </xf>
    <xf numFmtId="0" fontId="64" fillId="16" borderId="8" xfId="0" applyFont="1" applyFill="1" applyBorder="1" applyAlignment="1" applyProtection="1">
      <alignment horizontal="center" vertical="center"/>
      <protection locked="0"/>
    </xf>
    <xf numFmtId="0" fontId="64" fillId="16" borderId="3" xfId="0" applyFont="1" applyFill="1" applyBorder="1" applyAlignment="1" applyProtection="1">
      <alignment horizontal="center" vertical="center"/>
      <protection locked="0"/>
    </xf>
    <xf numFmtId="0" fontId="64" fillId="16" borderId="10" xfId="0" applyFont="1" applyFill="1" applyBorder="1" applyAlignment="1" applyProtection="1">
      <alignment horizontal="center" vertical="center"/>
      <protection locked="0"/>
    </xf>
    <xf numFmtId="0" fontId="64" fillId="16" borderId="9" xfId="0" applyFont="1" applyFill="1" applyBorder="1" applyAlignment="1" applyProtection="1">
      <alignment horizontal="center" vertical="center"/>
      <protection locked="0"/>
    </xf>
    <xf numFmtId="0" fontId="64" fillId="16" borderId="2" xfId="0" applyFont="1" applyFill="1" applyBorder="1" applyAlignment="1" applyProtection="1">
      <alignment horizontal="center" vertical="center"/>
      <protection locked="0"/>
    </xf>
    <xf numFmtId="0" fontId="64" fillId="16" borderId="11" xfId="0" applyFont="1" applyFill="1" applyBorder="1" applyAlignment="1" applyProtection="1">
      <alignment horizontal="center" vertical="center"/>
      <protection locked="0"/>
    </xf>
    <xf numFmtId="2" fontId="57" fillId="17" borderId="8" xfId="0" applyNumberFormat="1" applyFont="1" applyFill="1" applyBorder="1" applyAlignment="1">
      <alignment horizontal="center" vertical="center"/>
    </xf>
    <xf numFmtId="2" fontId="57" fillId="17" borderId="10" xfId="0" applyNumberFormat="1" applyFont="1" applyFill="1" applyBorder="1" applyAlignment="1">
      <alignment horizontal="center" vertical="center"/>
    </xf>
    <xf numFmtId="2" fontId="57" fillId="17" borderId="9" xfId="0" applyNumberFormat="1" applyFont="1" applyFill="1" applyBorder="1" applyAlignment="1">
      <alignment horizontal="center" vertical="center"/>
    </xf>
    <xf numFmtId="2" fontId="57" fillId="17" borderId="11" xfId="0" applyNumberFormat="1" applyFont="1" applyFill="1" applyBorder="1" applyAlignment="1">
      <alignment horizontal="center" vertical="center"/>
    </xf>
    <xf numFmtId="0" fontId="65" fillId="15" borderId="8" xfId="0" applyFont="1" applyFill="1" applyBorder="1" applyAlignment="1" applyProtection="1">
      <alignment horizontal="center" vertical="center"/>
      <protection locked="0"/>
    </xf>
    <xf numFmtId="0" fontId="65" fillId="15" borderId="10" xfId="0" applyFont="1" applyFill="1" applyBorder="1" applyAlignment="1" applyProtection="1">
      <alignment horizontal="center" vertical="center"/>
      <protection locked="0"/>
    </xf>
    <xf numFmtId="0" fontId="65" fillId="15" borderId="9" xfId="0" applyFont="1" applyFill="1" applyBorder="1" applyAlignment="1" applyProtection="1">
      <alignment horizontal="center" vertical="center"/>
      <protection locked="0"/>
    </xf>
    <xf numFmtId="0" fontId="65" fillId="15" borderId="11" xfId="0" applyFont="1" applyFill="1" applyBorder="1" applyAlignment="1" applyProtection="1">
      <alignment horizontal="center" vertical="center"/>
      <protection locked="0"/>
    </xf>
    <xf numFmtId="0" fontId="65" fillId="16" borderId="37" xfId="0" applyFont="1" applyFill="1" applyBorder="1" applyAlignment="1" applyProtection="1">
      <alignment horizontal="center" vertical="center"/>
      <protection locked="0"/>
    </xf>
    <xf numFmtId="177" fontId="57" fillId="17" borderId="6" xfId="0" applyNumberFormat="1" applyFont="1" applyFill="1" applyBorder="1" applyAlignment="1">
      <alignment horizontal="center" vertical="center"/>
    </xf>
    <xf numFmtId="177" fontId="57" fillId="17" borderId="4" xfId="0" applyNumberFormat="1" applyFont="1" applyFill="1" applyBorder="1" applyAlignment="1">
      <alignment horizontal="center" vertical="center"/>
    </xf>
    <xf numFmtId="177" fontId="57" fillId="17" borderId="7" xfId="0" applyNumberFormat="1" applyFont="1" applyFill="1" applyBorder="1" applyAlignment="1">
      <alignment horizontal="center" vertical="center"/>
    </xf>
    <xf numFmtId="0" fontId="66" fillId="16" borderId="31" xfId="0" applyFont="1" applyFill="1" applyBorder="1" applyAlignment="1" applyProtection="1">
      <alignment horizontal="center" vertical="center"/>
      <protection locked="0"/>
    </xf>
    <xf numFmtId="0" fontId="66" fillId="16" borderId="5" xfId="0" applyFont="1" applyFill="1" applyBorder="1" applyAlignment="1" applyProtection="1">
      <alignment horizontal="center" vertical="center"/>
      <protection locked="0"/>
    </xf>
    <xf numFmtId="0" fontId="65" fillId="15" borderId="6" xfId="0" applyFont="1" applyFill="1" applyBorder="1" applyAlignment="1" applyProtection="1">
      <alignment horizontal="center" vertical="center"/>
      <protection locked="0"/>
    </xf>
    <xf numFmtId="0" fontId="65" fillId="15" borderId="7" xfId="0" applyFont="1" applyFill="1" applyBorder="1" applyAlignment="1" applyProtection="1">
      <alignment horizontal="center" vertical="center"/>
      <protection locked="0"/>
    </xf>
    <xf numFmtId="182" fontId="57" fillId="17" borderId="5" xfId="0" applyNumberFormat="1" applyFont="1" applyFill="1" applyBorder="1" applyAlignment="1">
      <alignment horizontal="center" vertical="center"/>
    </xf>
    <xf numFmtId="0" fontId="72" fillId="16" borderId="30" xfId="0" applyFont="1" applyFill="1" applyBorder="1" applyAlignment="1" applyProtection="1">
      <alignment horizontal="center" vertical="center"/>
      <protection locked="0"/>
    </xf>
    <xf numFmtId="0" fontId="72" fillId="16" borderId="37" xfId="0" applyFont="1" applyFill="1" applyBorder="1" applyAlignment="1" applyProtection="1">
      <alignment horizontal="center" vertical="center"/>
      <protection locked="0"/>
    </xf>
    <xf numFmtId="0" fontId="65" fillId="16" borderId="36" xfId="0" applyFont="1" applyFill="1" applyBorder="1" applyAlignment="1" applyProtection="1">
      <alignment horizontal="center" vertical="center"/>
      <protection locked="0"/>
    </xf>
    <xf numFmtId="0" fontId="69" fillId="16" borderId="37" xfId="0" applyFont="1" applyFill="1" applyBorder="1" applyAlignment="1" applyProtection="1">
      <alignment horizontal="center" vertical="center"/>
      <protection locked="0"/>
    </xf>
    <xf numFmtId="183" fontId="57" fillId="17" borderId="5" xfId="0" applyNumberFormat="1" applyFont="1" applyFill="1" applyBorder="1" applyAlignment="1">
      <alignment horizontal="center" vertical="center"/>
    </xf>
    <xf numFmtId="176" fontId="65" fillId="15" borderId="5" xfId="0" quotePrefix="1" applyNumberFormat="1" applyFont="1" applyFill="1" applyBorder="1" applyAlignment="1" applyProtection="1">
      <alignment horizontal="center" vertical="center"/>
      <protection locked="0"/>
    </xf>
    <xf numFmtId="0" fontId="65" fillId="16" borderId="89" xfId="0" applyFont="1" applyFill="1" applyBorder="1" applyAlignment="1" applyProtection="1">
      <alignment horizontal="center" vertical="center"/>
      <protection locked="0"/>
    </xf>
    <xf numFmtId="14" fontId="65" fillId="15" borderId="5" xfId="0" quotePrefix="1" applyNumberFormat="1" applyFont="1" applyFill="1" applyBorder="1" applyAlignment="1" applyProtection="1">
      <alignment horizontal="center" vertical="center"/>
      <protection locked="0"/>
    </xf>
    <xf numFmtId="190" fontId="57" fillId="17" borderId="5" xfId="0" applyNumberFormat="1" applyFont="1" applyFill="1" applyBorder="1" applyAlignment="1">
      <alignment horizontal="center" vertical="center"/>
    </xf>
    <xf numFmtId="0" fontId="65" fillId="15" borderId="5" xfId="0" quotePrefix="1" applyFont="1" applyFill="1" applyBorder="1" applyAlignment="1" applyProtection="1">
      <alignment horizontal="center" vertical="center"/>
      <protection locked="0"/>
    </xf>
    <xf numFmtId="0" fontId="65" fillId="17" borderId="6" xfId="0" applyFont="1" applyFill="1" applyBorder="1" applyAlignment="1" applyProtection="1">
      <alignment horizontal="center" vertical="center"/>
      <protection locked="0"/>
    </xf>
    <xf numFmtId="182" fontId="65" fillId="15" borderId="6" xfId="0" applyNumberFormat="1" applyFont="1" applyFill="1" applyBorder="1" applyAlignment="1" applyProtection="1">
      <alignment horizontal="center" vertical="center"/>
      <protection locked="0"/>
    </xf>
    <xf numFmtId="182" fontId="65" fillId="15" borderId="4" xfId="0" applyNumberFormat="1" applyFont="1" applyFill="1" applyBorder="1" applyAlignment="1" applyProtection="1">
      <alignment horizontal="center" vertical="center"/>
      <protection locked="0"/>
    </xf>
    <xf numFmtId="182" fontId="65" fillId="15" borderId="7" xfId="0" applyNumberFormat="1" applyFont="1" applyFill="1" applyBorder="1" applyAlignment="1" applyProtection="1">
      <alignment horizontal="center" vertical="center"/>
      <protection locked="0"/>
    </xf>
    <xf numFmtId="181" fontId="65" fillId="15" borderId="6" xfId="0" applyNumberFormat="1" applyFont="1" applyFill="1" applyBorder="1" applyAlignment="1" applyProtection="1">
      <alignment horizontal="center" vertical="center"/>
      <protection locked="0"/>
    </xf>
    <xf numFmtId="181" fontId="65" fillId="15" borderId="4" xfId="0" applyNumberFormat="1" applyFont="1" applyFill="1" applyBorder="1" applyAlignment="1" applyProtection="1">
      <alignment horizontal="center" vertical="center"/>
      <protection locked="0"/>
    </xf>
    <xf numFmtId="181" fontId="65" fillId="15" borderId="7" xfId="0" applyNumberFormat="1" applyFont="1" applyFill="1" applyBorder="1" applyAlignment="1" applyProtection="1">
      <alignment horizontal="center" vertical="center"/>
      <protection locked="0"/>
    </xf>
    <xf numFmtId="180" fontId="57" fillId="17" borderId="6" xfId="0" applyNumberFormat="1" applyFont="1" applyFill="1" applyBorder="1" applyAlignment="1">
      <alignment horizontal="center" vertical="center"/>
    </xf>
    <xf numFmtId="180" fontId="57" fillId="17" borderId="4" xfId="0" applyNumberFormat="1" applyFont="1" applyFill="1" applyBorder="1" applyAlignment="1">
      <alignment horizontal="center" vertical="center"/>
    </xf>
    <xf numFmtId="180" fontId="57" fillId="17" borderId="7" xfId="0" applyNumberFormat="1" applyFont="1" applyFill="1" applyBorder="1" applyAlignment="1">
      <alignment horizontal="center" vertical="center"/>
    </xf>
    <xf numFmtId="194" fontId="65" fillId="15" borderId="6" xfId="0" applyNumberFormat="1" applyFont="1" applyFill="1" applyBorder="1" applyAlignment="1" applyProtection="1">
      <alignment horizontal="center" vertical="center"/>
      <protection locked="0"/>
    </xf>
    <xf numFmtId="194" fontId="65" fillId="15" borderId="4" xfId="0" applyNumberFormat="1" applyFont="1" applyFill="1" applyBorder="1" applyAlignment="1" applyProtection="1">
      <alignment horizontal="center" vertical="center"/>
      <protection locked="0"/>
    </xf>
    <xf numFmtId="194" fontId="65" fillId="15" borderId="7" xfId="0" applyNumberFormat="1" applyFont="1" applyFill="1" applyBorder="1" applyAlignment="1" applyProtection="1">
      <alignment horizontal="center" vertical="center"/>
      <protection locked="0"/>
    </xf>
    <xf numFmtId="0" fontId="65" fillId="17" borderId="7" xfId="0" applyFont="1" applyFill="1" applyBorder="1" applyAlignment="1" applyProtection="1">
      <alignment horizontal="center" vertical="center"/>
      <protection locked="0"/>
    </xf>
    <xf numFmtId="2" fontId="57" fillId="17" borderId="1" xfId="0" applyNumberFormat="1" applyFont="1" applyFill="1" applyBorder="1" applyAlignment="1">
      <alignment horizontal="center" vertical="center"/>
    </xf>
    <xf numFmtId="2" fontId="57" fillId="17" borderId="12" xfId="0" applyNumberFormat="1" applyFont="1" applyFill="1" applyBorder="1" applyAlignment="1">
      <alignment horizontal="center" vertical="center"/>
    </xf>
    <xf numFmtId="14" fontId="65" fillId="0" borderId="5" xfId="0" quotePrefix="1" applyNumberFormat="1" applyFont="1" applyBorder="1" applyAlignment="1" applyProtection="1">
      <alignment horizontal="center" vertical="center"/>
      <protection locked="0"/>
    </xf>
    <xf numFmtId="0" fontId="65" fillId="0" borderId="5" xfId="0" applyFont="1" applyBorder="1" applyAlignment="1" applyProtection="1">
      <alignment horizontal="center" vertical="center"/>
      <protection locked="0"/>
    </xf>
    <xf numFmtId="176" fontId="65" fillId="0" borderId="5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81" fontId="40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8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right" vertical="center"/>
    </xf>
    <xf numFmtId="184" fontId="3" fillId="0" borderId="3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right" vertical="center"/>
    </xf>
    <xf numFmtId="0" fontId="3" fillId="9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190" fontId="41" fillId="0" borderId="5" xfId="0" applyNumberFormat="1" applyFont="1" applyBorder="1" applyAlignment="1">
      <alignment horizontal="center" vertical="center"/>
    </xf>
    <xf numFmtId="189" fontId="41" fillId="0" borderId="5" xfId="0" applyNumberFormat="1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7" fontId="3" fillId="5" borderId="0" xfId="0" applyNumberFormat="1" applyFont="1" applyFill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9" borderId="5" xfId="0" applyNumberFormat="1" applyFont="1" applyFill="1" applyBorder="1" applyAlignment="1">
      <alignment horizontal="center" vertical="center"/>
    </xf>
    <xf numFmtId="176" fontId="3" fillId="9" borderId="5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81" fontId="3" fillId="9" borderId="5" xfId="0" applyNumberFormat="1" applyFont="1" applyFill="1" applyBorder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4" borderId="5" xfId="0" applyFont="1" applyFill="1" applyBorder="1" applyAlignment="1">
      <alignment horizontal="right" vertical="center"/>
    </xf>
    <xf numFmtId="193" fontId="41" fillId="0" borderId="5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5" fillId="0" borderId="30" xfId="0" applyFont="1" applyBorder="1" applyAlignment="1">
      <alignment horizontal="center" vertical="center"/>
    </xf>
    <xf numFmtId="0" fontId="65" fillId="0" borderId="68" xfId="0" applyFont="1" applyBorder="1" applyAlignment="1">
      <alignment horizontal="center" vertical="center"/>
    </xf>
    <xf numFmtId="0" fontId="65" fillId="0" borderId="14" xfId="0" applyFont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110" fillId="0" borderId="108" xfId="0" applyFont="1" applyBorder="1" applyAlignment="1">
      <alignment horizontal="center" vertical="center"/>
    </xf>
    <xf numFmtId="0" fontId="110" fillId="0" borderId="109" xfId="0" applyFont="1" applyBorder="1" applyAlignment="1">
      <alignment horizontal="center" vertical="center"/>
    </xf>
    <xf numFmtId="2" fontId="55" fillId="17" borderId="6" xfId="1" applyNumberFormat="1" applyFont="1" applyFill="1" applyBorder="1" applyAlignment="1">
      <alignment horizontal="center" vertical="center"/>
    </xf>
    <xf numFmtId="0" fontId="55" fillId="17" borderId="4" xfId="1" applyFont="1" applyFill="1" applyBorder="1" applyAlignment="1">
      <alignment horizontal="center" vertical="center"/>
    </xf>
    <xf numFmtId="0" fontId="55" fillId="17" borderId="7" xfId="1" applyFont="1" applyFill="1" applyBorder="1" applyAlignment="1">
      <alignment horizontal="center" vertical="center"/>
    </xf>
    <xf numFmtId="2" fontId="64" fillId="23" borderId="1" xfId="0" applyNumberFormat="1" applyFont="1" applyFill="1" applyBorder="1" applyAlignment="1">
      <alignment horizontal="center" vertical="center" shrinkToFit="1"/>
    </xf>
    <xf numFmtId="2" fontId="64" fillId="23" borderId="0" xfId="0" applyNumberFormat="1" applyFont="1" applyFill="1" applyAlignment="1">
      <alignment horizontal="center" vertical="center" shrinkToFit="1"/>
    </xf>
    <xf numFmtId="2" fontId="64" fillId="23" borderId="12" xfId="0" applyNumberFormat="1" applyFont="1" applyFill="1" applyBorder="1" applyAlignment="1">
      <alignment horizontal="center" vertical="center" shrinkToFit="1"/>
    </xf>
    <xf numFmtId="2" fontId="64" fillId="23" borderId="154" xfId="0" applyNumberFormat="1" applyFont="1" applyFill="1" applyBorder="1" applyAlignment="1">
      <alignment horizontal="center" vertical="center" shrinkToFit="1"/>
    </xf>
    <xf numFmtId="2" fontId="64" fillId="23" borderId="139" xfId="0" applyNumberFormat="1" applyFont="1" applyFill="1" applyBorder="1" applyAlignment="1">
      <alignment horizontal="center" vertical="center" shrinkToFit="1"/>
    </xf>
    <xf numFmtId="2" fontId="64" fillId="23" borderId="155" xfId="0" applyNumberFormat="1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2" fontId="64" fillId="15" borderId="1" xfId="0" applyNumberFormat="1" applyFont="1" applyFill="1" applyBorder="1" applyAlignment="1">
      <alignment horizontal="center" vertical="center" shrinkToFit="1"/>
    </xf>
    <xf numFmtId="2" fontId="64" fillId="15" borderId="0" xfId="0" applyNumberFormat="1" applyFont="1" applyFill="1" applyAlignment="1">
      <alignment horizontal="center" vertical="center" shrinkToFit="1"/>
    </xf>
    <xf numFmtId="2" fontId="64" fillId="15" borderId="12" xfId="0" applyNumberFormat="1" applyFont="1" applyFill="1" applyBorder="1" applyAlignment="1">
      <alignment horizontal="center" vertical="center" shrinkToFit="1"/>
    </xf>
    <xf numFmtId="2" fontId="64" fillId="0" borderId="0" xfId="0" applyNumberFormat="1" applyFont="1" applyAlignment="1">
      <alignment horizontal="center" vertical="center" shrinkToFit="1"/>
    </xf>
    <xf numFmtId="2" fontId="64" fillId="0" borderId="1" xfId="0" applyNumberFormat="1" applyFont="1" applyBorder="1" applyAlignment="1">
      <alignment horizontal="center" vertical="center" shrinkToFit="1"/>
    </xf>
    <xf numFmtId="2" fontId="64" fillId="0" borderId="12" xfId="0" applyNumberFormat="1" applyFont="1" applyBorder="1" applyAlignment="1">
      <alignment horizontal="center" vertical="center" shrinkToFit="1"/>
    </xf>
    <xf numFmtId="0" fontId="56" fillId="17" borderId="1" xfId="1" applyFont="1" applyFill="1" applyBorder="1" applyAlignment="1">
      <alignment horizontal="center" vertical="center"/>
    </xf>
    <xf numFmtId="0" fontId="56" fillId="17" borderId="0" xfId="1" applyFont="1" applyFill="1" applyAlignment="1">
      <alignment horizontal="center" vertical="center"/>
    </xf>
    <xf numFmtId="0" fontId="56" fillId="17" borderId="12" xfId="1" applyFont="1" applyFill="1" applyBorder="1" applyAlignment="1">
      <alignment horizontal="center" vertical="center"/>
    </xf>
    <xf numFmtId="0" fontId="55" fillId="15" borderId="1" xfId="1" applyFont="1" applyFill="1" applyBorder="1" applyAlignment="1">
      <alignment horizontal="center" vertical="center"/>
    </xf>
    <xf numFmtId="0" fontId="55" fillId="15" borderId="0" xfId="1" applyFont="1" applyFill="1" applyAlignment="1">
      <alignment horizontal="center" vertical="center"/>
    </xf>
    <xf numFmtId="0" fontId="55" fillId="15" borderId="12" xfId="1" applyFont="1" applyFill="1" applyBorder="1" applyAlignment="1">
      <alignment horizontal="center" vertical="center"/>
    </xf>
    <xf numFmtId="0" fontId="64" fillId="15" borderId="1" xfId="1" applyFont="1" applyFill="1" applyBorder="1" applyAlignment="1">
      <alignment horizontal="center" vertical="center"/>
    </xf>
    <xf numFmtId="0" fontId="64" fillId="15" borderId="0" xfId="1" applyFont="1" applyFill="1" applyAlignment="1">
      <alignment horizontal="center" vertical="center"/>
    </xf>
    <xf numFmtId="0" fontId="64" fillId="15" borderId="12" xfId="1" applyFont="1" applyFill="1" applyBorder="1" applyAlignment="1">
      <alignment horizontal="center" vertical="center"/>
    </xf>
    <xf numFmtId="0" fontId="85" fillId="17" borderId="1" xfId="1" applyFont="1" applyFill="1" applyBorder="1" applyAlignment="1">
      <alignment horizontal="center" vertical="center"/>
    </xf>
    <xf numFmtId="0" fontId="85" fillId="17" borderId="0" xfId="1" applyFont="1" applyFill="1" applyAlignment="1">
      <alignment horizontal="center" vertical="center"/>
    </xf>
    <xf numFmtId="0" fontId="85" fillId="17" borderId="12" xfId="1" applyFont="1" applyFill="1" applyBorder="1" applyAlignment="1">
      <alignment horizontal="center" vertical="center"/>
    </xf>
    <xf numFmtId="0" fontId="52" fillId="0" borderId="31" xfId="1" applyFont="1" applyBorder="1" applyAlignment="1">
      <alignment horizontal="center" vertical="center" shrinkToFit="1"/>
    </xf>
    <xf numFmtId="0" fontId="54" fillId="0" borderId="31" xfId="1" applyFont="1" applyBorder="1" applyAlignment="1">
      <alignment horizontal="center" vertical="center" shrinkToFit="1"/>
    </xf>
    <xf numFmtId="0" fontId="54" fillId="0" borderId="5" xfId="1" applyFont="1" applyBorder="1" applyAlignment="1">
      <alignment horizontal="left" vertical="center" indent="1"/>
    </xf>
    <xf numFmtId="0" fontId="54" fillId="0" borderId="39" xfId="1" applyFont="1" applyBorder="1" applyAlignment="1">
      <alignment horizontal="left" vertical="center" indent="1"/>
    </xf>
    <xf numFmtId="0" fontId="76" fillId="6" borderId="6" xfId="0" applyFont="1" applyFill="1" applyBorder="1" applyAlignment="1">
      <alignment horizontal="center" vertical="center"/>
    </xf>
    <xf numFmtId="0" fontId="76" fillId="6" borderId="4" xfId="0" applyFont="1" applyFill="1" applyBorder="1" applyAlignment="1">
      <alignment horizontal="center" vertical="center"/>
    </xf>
    <xf numFmtId="0" fontId="76" fillId="6" borderId="7" xfId="0" applyFont="1" applyFill="1" applyBorder="1" applyAlignment="1">
      <alignment horizontal="center" vertical="center"/>
    </xf>
    <xf numFmtId="3" fontId="76" fillId="11" borderId="6" xfId="0" applyNumberFormat="1" applyFont="1" applyFill="1" applyBorder="1" applyAlignment="1">
      <alignment horizontal="center" vertical="center" shrinkToFit="1"/>
    </xf>
    <xf numFmtId="3" fontId="76" fillId="11" borderId="4" xfId="0" applyNumberFormat="1" applyFont="1" applyFill="1" applyBorder="1" applyAlignment="1">
      <alignment horizontal="center" vertical="center" shrinkToFit="1"/>
    </xf>
    <xf numFmtId="0" fontId="76" fillId="11" borderId="4" xfId="0" applyFont="1" applyFill="1" applyBorder="1" applyAlignment="1">
      <alignment horizontal="center" vertical="center" shrinkToFit="1"/>
    </xf>
    <xf numFmtId="0" fontId="76" fillId="11" borderId="7" xfId="0" applyFont="1" applyFill="1" applyBorder="1" applyAlignment="1">
      <alignment horizontal="center" vertical="center" shrinkToFit="1"/>
    </xf>
    <xf numFmtId="0" fontId="76" fillId="15" borderId="6" xfId="0" applyFont="1" applyFill="1" applyBorder="1" applyAlignment="1">
      <alignment horizontal="center" vertical="center" shrinkToFit="1"/>
    </xf>
    <xf numFmtId="0" fontId="76" fillId="15" borderId="4" xfId="0" applyFont="1" applyFill="1" applyBorder="1" applyAlignment="1">
      <alignment horizontal="center" vertical="center" shrinkToFit="1"/>
    </xf>
    <xf numFmtId="0" fontId="76" fillId="15" borderId="7" xfId="0" applyFont="1" applyFill="1" applyBorder="1" applyAlignment="1">
      <alignment horizontal="center" vertical="center" shrinkToFit="1"/>
    </xf>
    <xf numFmtId="0" fontId="76" fillId="6" borderId="6" xfId="0" applyFont="1" applyFill="1" applyBorder="1" applyAlignment="1">
      <alignment horizontal="center" vertical="center" shrinkToFit="1"/>
    </xf>
    <xf numFmtId="0" fontId="76" fillId="6" borderId="4" xfId="0" applyFont="1" applyFill="1" applyBorder="1" applyAlignment="1">
      <alignment horizontal="center" vertical="center" shrinkToFit="1"/>
    </xf>
    <xf numFmtId="0" fontId="76" fillId="6" borderId="7" xfId="0" applyFont="1" applyFill="1" applyBorder="1" applyAlignment="1">
      <alignment horizontal="center" vertical="center" shrinkToFit="1"/>
    </xf>
    <xf numFmtId="0" fontId="52" fillId="0" borderId="33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  <xf numFmtId="0" fontId="52" fillId="0" borderId="10" xfId="1" applyFont="1" applyBorder="1" applyAlignment="1">
      <alignment horizontal="center" vertical="center"/>
    </xf>
    <xf numFmtId="0" fontId="52" fillId="0" borderId="35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11" xfId="1" applyFont="1" applyBorder="1" applyAlignment="1">
      <alignment horizontal="center" vertical="center"/>
    </xf>
    <xf numFmtId="0" fontId="52" fillId="0" borderId="8" xfId="1" applyFont="1" applyBorder="1" applyAlignment="1">
      <alignment horizontal="center" vertical="center"/>
    </xf>
    <xf numFmtId="0" fontId="52" fillId="0" borderId="9" xfId="1" applyFont="1" applyBorder="1" applyAlignment="1">
      <alignment horizontal="center" vertical="center"/>
    </xf>
    <xf numFmtId="0" fontId="55" fillId="0" borderId="6" xfId="1" applyFont="1" applyBorder="1" applyAlignment="1">
      <alignment horizontal="center" vertical="center"/>
    </xf>
    <xf numFmtId="0" fontId="55" fillId="0" borderId="4" xfId="1" applyFont="1" applyBorder="1" applyAlignment="1">
      <alignment horizontal="center" vertical="center"/>
    </xf>
    <xf numFmtId="0" fontId="55" fillId="0" borderId="7" xfId="1" applyFont="1" applyBorder="1" applyAlignment="1">
      <alignment horizontal="center" vertical="center"/>
    </xf>
    <xf numFmtId="0" fontId="52" fillId="0" borderId="5" xfId="1" applyFont="1" applyBorder="1" applyAlignment="1">
      <alignment horizontal="center" vertical="center" shrinkToFit="1"/>
    </xf>
    <xf numFmtId="0" fontId="76" fillId="0" borderId="33" xfId="0" applyFont="1" applyBorder="1" applyAlignment="1">
      <alignment horizontal="center" vertical="center"/>
    </xf>
    <xf numFmtId="0" fontId="76" fillId="0" borderId="3" xfId="0" applyFont="1" applyBorder="1" applyAlignment="1">
      <alignment horizontal="center" vertical="center"/>
    </xf>
    <xf numFmtId="0" fontId="76" fillId="0" borderId="10" xfId="0" applyFont="1" applyBorder="1" applyAlignment="1">
      <alignment horizontal="center" vertical="center"/>
    </xf>
    <xf numFmtId="0" fontId="76" fillId="15" borderId="8" xfId="0" applyFont="1" applyFill="1" applyBorder="1" applyAlignment="1">
      <alignment horizontal="center" vertical="center"/>
    </xf>
    <xf numFmtId="0" fontId="76" fillId="15" borderId="3" xfId="0" applyFont="1" applyFill="1" applyBorder="1" applyAlignment="1">
      <alignment horizontal="center" vertical="center"/>
    </xf>
    <xf numFmtId="0" fontId="76" fillId="15" borderId="10" xfId="0" applyFont="1" applyFill="1" applyBorder="1" applyAlignment="1">
      <alignment horizontal="center" vertical="center"/>
    </xf>
    <xf numFmtId="0" fontId="76" fillId="15" borderId="9" xfId="0" applyFont="1" applyFill="1" applyBorder="1" applyAlignment="1">
      <alignment horizontal="center" vertical="center"/>
    </xf>
    <xf numFmtId="0" fontId="76" fillId="15" borderId="2" xfId="0" applyFont="1" applyFill="1" applyBorder="1" applyAlignment="1">
      <alignment horizontal="center" vertical="center"/>
    </xf>
    <xf numFmtId="0" fontId="76" fillId="15" borderId="11" xfId="0" applyFont="1" applyFill="1" applyBorder="1" applyAlignment="1">
      <alignment horizontal="center" vertical="center"/>
    </xf>
    <xf numFmtId="183" fontId="52" fillId="0" borderId="3" xfId="1" applyNumberFormat="1" applyFont="1" applyBorder="1" applyAlignment="1">
      <alignment horizontal="center" vertical="center"/>
    </xf>
    <xf numFmtId="183" fontId="52" fillId="0" borderId="50" xfId="1" applyNumberFormat="1" applyFont="1" applyBorder="1" applyAlignment="1">
      <alignment horizontal="center" vertical="center"/>
    </xf>
    <xf numFmtId="183" fontId="52" fillId="0" borderId="2" xfId="1" applyNumberFormat="1" applyFont="1" applyBorder="1" applyAlignment="1">
      <alignment horizontal="center" vertical="center"/>
    </xf>
    <xf numFmtId="183" fontId="52" fillId="0" borderId="51" xfId="1" applyNumberFormat="1" applyFont="1" applyBorder="1" applyAlignment="1">
      <alignment horizontal="center" vertical="center"/>
    </xf>
    <xf numFmtId="191" fontId="52" fillId="0" borderId="3" xfId="1" applyNumberFormat="1" applyFont="1" applyBorder="1" applyAlignment="1">
      <alignment horizontal="center" vertical="center"/>
    </xf>
    <xf numFmtId="191" fontId="52" fillId="0" borderId="2" xfId="1" applyNumberFormat="1" applyFont="1" applyBorder="1" applyAlignment="1">
      <alignment horizontal="center" vertical="center"/>
    </xf>
    <xf numFmtId="0" fontId="52" fillId="0" borderId="30" xfId="1" applyFont="1" applyBorder="1" applyAlignment="1">
      <alignment horizontal="center" vertical="center" shrinkToFit="1"/>
    </xf>
    <xf numFmtId="0" fontId="54" fillId="0" borderId="31" xfId="1" applyFont="1" applyBorder="1" applyAlignment="1">
      <alignment vertical="center" shrinkToFit="1"/>
    </xf>
    <xf numFmtId="14" fontId="52" fillId="0" borderId="31" xfId="1" applyNumberFormat="1" applyFont="1" applyBorder="1" applyAlignment="1">
      <alignment horizontal="center" vertical="center"/>
    </xf>
    <xf numFmtId="0" fontId="52" fillId="0" borderId="31" xfId="1" applyFont="1" applyBorder="1" applyAlignment="1">
      <alignment horizontal="center" vertical="center"/>
    </xf>
    <xf numFmtId="0" fontId="52" fillId="0" borderId="5" xfId="1" applyFont="1" applyBorder="1" applyAlignment="1">
      <alignment horizontal="center" vertical="center"/>
    </xf>
    <xf numFmtId="0" fontId="53" fillId="0" borderId="31" xfId="1" applyFont="1" applyBorder="1" applyAlignment="1">
      <alignment horizontal="center" vertical="center"/>
    </xf>
    <xf numFmtId="0" fontId="53" fillId="0" borderId="5" xfId="1" applyFont="1" applyBorder="1" applyAlignment="1">
      <alignment horizontal="center" vertical="center"/>
    </xf>
    <xf numFmtId="0" fontId="52" fillId="0" borderId="37" xfId="1" applyFont="1" applyBorder="1" applyAlignment="1">
      <alignment horizontal="center" vertical="center" shrinkToFit="1"/>
    </xf>
    <xf numFmtId="0" fontId="54" fillId="0" borderId="5" xfId="1" applyFont="1" applyBorder="1" applyAlignment="1">
      <alignment vertical="center" shrinkToFit="1"/>
    </xf>
    <xf numFmtId="0" fontId="76" fillId="0" borderId="6" xfId="0" applyFont="1" applyBorder="1" applyAlignment="1">
      <alignment horizontal="center" vertical="center" shrinkToFit="1"/>
    </xf>
    <xf numFmtId="0" fontId="76" fillId="0" borderId="4" xfId="0" applyFont="1" applyBorder="1" applyAlignment="1">
      <alignment horizontal="center" vertical="center" shrinkToFit="1"/>
    </xf>
    <xf numFmtId="0" fontId="76" fillId="0" borderId="7" xfId="0" applyFont="1" applyBorder="1" applyAlignment="1">
      <alignment horizontal="center" vertical="center" shrinkToFit="1"/>
    </xf>
    <xf numFmtId="0" fontId="76" fillId="0" borderId="36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7" xfId="0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4" fillId="0" borderId="6" xfId="1" applyFont="1" applyBorder="1" applyAlignment="1">
      <alignment horizontal="left" vertical="center" indent="1"/>
    </xf>
    <xf numFmtId="0" fontId="54" fillId="0" borderId="4" xfId="1" applyFont="1" applyBorder="1" applyAlignment="1">
      <alignment horizontal="left" vertical="center" indent="1"/>
    </xf>
    <xf numFmtId="0" fontId="54" fillId="0" borderId="34" xfId="1" applyFont="1" applyBorder="1" applyAlignment="1">
      <alignment horizontal="left" vertical="center" indent="1"/>
    </xf>
    <xf numFmtId="0" fontId="76" fillId="0" borderId="37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76" fillId="6" borderId="6" xfId="0" applyFont="1" applyFill="1" applyBorder="1" applyAlignment="1">
      <alignment horizontal="left" vertical="center" indent="1" shrinkToFit="1"/>
    </xf>
    <xf numFmtId="0" fontId="76" fillId="6" borderId="4" xfId="0" applyFont="1" applyFill="1" applyBorder="1" applyAlignment="1">
      <alignment horizontal="left" vertical="center" indent="1" shrinkToFit="1"/>
    </xf>
    <xf numFmtId="0" fontId="76" fillId="6" borderId="7" xfId="0" applyFont="1" applyFill="1" applyBorder="1" applyAlignment="1">
      <alignment horizontal="left" vertical="center" indent="1" shrinkToFit="1"/>
    </xf>
    <xf numFmtId="0" fontId="54" fillId="0" borderId="5" xfId="1" applyFont="1" applyBorder="1" applyAlignment="1">
      <alignment horizontal="left" vertical="center" indent="1" shrinkToFit="1"/>
    </xf>
    <xf numFmtId="0" fontId="54" fillId="0" borderId="39" xfId="1" applyFont="1" applyBorder="1" applyAlignment="1">
      <alignment horizontal="left" vertical="center" indent="1" shrinkToFit="1"/>
    </xf>
    <xf numFmtId="0" fontId="76" fillId="11" borderId="6" xfId="0" applyFont="1" applyFill="1" applyBorder="1" applyAlignment="1">
      <alignment horizontal="center" vertical="center" shrinkToFit="1"/>
    </xf>
    <xf numFmtId="0" fontId="76" fillId="6" borderId="6" xfId="0" applyFont="1" applyFill="1" applyBorder="1" applyAlignment="1">
      <alignment horizontal="left" vertical="center" indent="1"/>
    </xf>
    <xf numFmtId="0" fontId="76" fillId="6" borderId="4" xfId="0" applyFont="1" applyFill="1" applyBorder="1" applyAlignment="1">
      <alignment horizontal="left" vertical="center" indent="1"/>
    </xf>
    <xf numFmtId="0" fontId="76" fillId="6" borderId="7" xfId="0" applyFont="1" applyFill="1" applyBorder="1" applyAlignment="1">
      <alignment horizontal="left" vertical="center" indent="1"/>
    </xf>
    <xf numFmtId="0" fontId="54" fillId="0" borderId="5" xfId="1" applyFont="1" applyBorder="1" applyAlignment="1">
      <alignment horizontal="center" vertical="center"/>
    </xf>
    <xf numFmtId="2" fontId="64" fillId="15" borderId="8" xfId="0" applyNumberFormat="1" applyFont="1" applyFill="1" applyBorder="1" applyAlignment="1">
      <alignment horizontal="center" vertical="center" shrinkToFit="1"/>
    </xf>
    <xf numFmtId="2" fontId="64" fillId="15" borderId="3" xfId="0" applyNumberFormat="1" applyFont="1" applyFill="1" applyBorder="1" applyAlignment="1">
      <alignment horizontal="center" vertical="center" shrinkToFit="1"/>
    </xf>
    <xf numFmtId="2" fontId="64" fillId="15" borderId="10" xfId="0" applyNumberFormat="1" applyFont="1" applyFill="1" applyBorder="1" applyAlignment="1">
      <alignment horizontal="center" vertical="center" shrinkToFit="1"/>
    </xf>
    <xf numFmtId="0" fontId="52" fillId="0" borderId="6" xfId="1" applyFont="1" applyBorder="1" applyAlignment="1">
      <alignment horizontal="center" vertical="center"/>
    </xf>
    <xf numFmtId="0" fontId="52" fillId="0" borderId="4" xfId="1" applyFont="1" applyBorder="1" applyAlignment="1">
      <alignment horizontal="center" vertical="center"/>
    </xf>
    <xf numFmtId="0" fontId="52" fillId="0" borderId="7" xfId="1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76" fillId="0" borderId="2" xfId="0" applyFont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52" fillId="0" borderId="37" xfId="1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 shrinkToFit="1"/>
    </xf>
    <xf numFmtId="0" fontId="64" fillId="0" borderId="4" xfId="0" applyFont="1" applyBorder="1" applyAlignment="1">
      <alignment horizontal="center" vertical="center" shrinkToFit="1"/>
    </xf>
    <xf numFmtId="0" fontId="64" fillId="0" borderId="7" xfId="0" applyFont="1" applyBorder="1" applyAlignment="1">
      <alignment horizontal="center" vertical="center" shrinkToFit="1"/>
    </xf>
    <xf numFmtId="0" fontId="54" fillId="15" borderId="8" xfId="1" applyFont="1" applyFill="1" applyBorder="1" applyAlignment="1">
      <alignment horizontal="left" vertical="center" indent="1"/>
    </xf>
    <xf numFmtId="0" fontId="54" fillId="15" borderId="3" xfId="1" applyFont="1" applyFill="1" applyBorder="1" applyAlignment="1">
      <alignment horizontal="left" vertical="center" indent="1"/>
    </xf>
    <xf numFmtId="0" fontId="54" fillId="15" borderId="50" xfId="1" applyFont="1" applyFill="1" applyBorder="1" applyAlignment="1">
      <alignment horizontal="left" vertical="center" indent="1"/>
    </xf>
    <xf numFmtId="0" fontId="54" fillId="15" borderId="9" xfId="1" applyFont="1" applyFill="1" applyBorder="1" applyAlignment="1">
      <alignment horizontal="left" vertical="center" indent="1"/>
    </xf>
    <xf numFmtId="0" fontId="54" fillId="15" borderId="2" xfId="1" applyFont="1" applyFill="1" applyBorder="1" applyAlignment="1">
      <alignment horizontal="left" vertical="center" indent="1"/>
    </xf>
    <xf numFmtId="0" fontId="54" fillId="15" borderId="51" xfId="1" applyFont="1" applyFill="1" applyBorder="1" applyAlignment="1">
      <alignment horizontal="left" vertical="center" indent="1"/>
    </xf>
    <xf numFmtId="0" fontId="78" fillId="0" borderId="6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7" xfId="0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2" fillId="0" borderId="12" xfId="1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 wrapText="1" shrinkToFit="1"/>
    </xf>
    <xf numFmtId="0" fontId="76" fillId="0" borderId="3" xfId="0" applyFont="1" applyBorder="1" applyAlignment="1">
      <alignment horizontal="center" vertical="center" wrapText="1" shrinkToFit="1"/>
    </xf>
    <xf numFmtId="0" fontId="76" fillId="0" borderId="50" xfId="0" applyFont="1" applyBorder="1" applyAlignment="1">
      <alignment horizontal="center" vertical="center" wrapText="1" shrinkToFit="1"/>
    </xf>
    <xf numFmtId="0" fontId="76" fillId="0" borderId="1" xfId="0" applyFont="1" applyBorder="1" applyAlignment="1">
      <alignment horizontal="center" vertical="center" wrapText="1" shrinkToFit="1"/>
    </xf>
    <xf numFmtId="0" fontId="76" fillId="0" borderId="0" xfId="0" applyFont="1" applyAlignment="1">
      <alignment horizontal="center" vertical="center" wrapText="1" shrinkToFit="1"/>
    </xf>
    <xf numFmtId="0" fontId="76" fillId="0" borderId="49" xfId="0" applyFont="1" applyBorder="1" applyAlignment="1">
      <alignment horizontal="center" vertical="center" wrapText="1" shrinkToFit="1"/>
    </xf>
    <xf numFmtId="0" fontId="76" fillId="0" borderId="9" xfId="0" applyFont="1" applyBorder="1" applyAlignment="1">
      <alignment horizontal="center" vertical="center" wrapText="1" shrinkToFit="1"/>
    </xf>
    <xf numFmtId="0" fontId="76" fillId="0" borderId="2" xfId="0" applyFont="1" applyBorder="1" applyAlignment="1">
      <alignment horizontal="center" vertical="center" wrapText="1" shrinkToFit="1"/>
    </xf>
    <xf numFmtId="0" fontId="76" fillId="0" borderId="51" xfId="0" applyFont="1" applyBorder="1" applyAlignment="1">
      <alignment horizontal="center" vertical="center" wrapText="1" shrinkToFit="1"/>
    </xf>
    <xf numFmtId="0" fontId="87" fillId="15" borderId="6" xfId="1" applyFont="1" applyFill="1" applyBorder="1" applyAlignment="1">
      <alignment horizontal="center" vertical="center"/>
    </xf>
    <xf numFmtId="0" fontId="87" fillId="15" borderId="4" xfId="1" applyFont="1" applyFill="1" applyBorder="1" applyAlignment="1">
      <alignment horizontal="center" vertical="center"/>
    </xf>
    <xf numFmtId="0" fontId="87" fillId="15" borderId="7" xfId="1" applyFont="1" applyFill="1" applyBorder="1" applyAlignment="1">
      <alignment horizontal="center" vertical="center"/>
    </xf>
    <xf numFmtId="183" fontId="52" fillId="0" borderId="10" xfId="1" applyNumberFormat="1" applyFont="1" applyBorder="1" applyAlignment="1">
      <alignment horizontal="center" vertical="center"/>
    </xf>
    <xf numFmtId="183" fontId="52" fillId="0" borderId="11" xfId="1" applyNumberFormat="1" applyFont="1" applyBorder="1" applyAlignment="1">
      <alignment horizontal="center" vertical="center"/>
    </xf>
    <xf numFmtId="0" fontId="55" fillId="15" borderId="8" xfId="1" applyFont="1" applyFill="1" applyBorder="1" applyAlignment="1">
      <alignment horizontal="center" vertical="center"/>
    </xf>
    <xf numFmtId="0" fontId="55" fillId="15" borderId="3" xfId="1" applyFont="1" applyFill="1" applyBorder="1" applyAlignment="1">
      <alignment horizontal="center" vertical="center"/>
    </xf>
    <xf numFmtId="0" fontId="55" fillId="15" borderId="10" xfId="1" applyFont="1" applyFill="1" applyBorder="1" applyAlignment="1">
      <alignment horizontal="center" vertical="center"/>
    </xf>
    <xf numFmtId="0" fontId="52" fillId="0" borderId="50" xfId="1" applyFont="1" applyBorder="1" applyAlignment="1">
      <alignment horizontal="center" vertical="center"/>
    </xf>
    <xf numFmtId="0" fontId="52" fillId="0" borderId="51" xfId="1" applyFont="1" applyBorder="1" applyAlignment="1">
      <alignment horizontal="center" vertical="center"/>
    </xf>
    <xf numFmtId="191" fontId="52" fillId="0" borderId="8" xfId="1" applyNumberFormat="1" applyFont="1" applyBorder="1" applyAlignment="1">
      <alignment horizontal="center" vertical="center"/>
    </xf>
    <xf numFmtId="206" fontId="55" fillId="0" borderId="31" xfId="1" applyNumberFormat="1" applyFont="1" applyBorder="1" applyAlignment="1">
      <alignment horizontal="center" vertical="center"/>
    </xf>
    <xf numFmtId="206" fontId="54" fillId="0" borderId="31" xfId="1" applyNumberFormat="1" applyFont="1" applyBorder="1" applyAlignment="1">
      <alignment horizontal="center" vertical="center"/>
    </xf>
    <xf numFmtId="206" fontId="54" fillId="0" borderId="68" xfId="1" applyNumberFormat="1" applyFont="1" applyBorder="1" applyAlignment="1">
      <alignment horizontal="center" vertical="center"/>
    </xf>
    <xf numFmtId="206" fontId="54" fillId="0" borderId="5" xfId="1" applyNumberFormat="1" applyFont="1" applyBorder="1" applyAlignment="1">
      <alignment horizontal="center" vertical="center"/>
    </xf>
    <xf numFmtId="206" fontId="54" fillId="0" borderId="39" xfId="1" applyNumberFormat="1" applyFont="1" applyBorder="1" applyAlignment="1">
      <alignment horizontal="center" vertical="center"/>
    </xf>
    <xf numFmtId="0" fontId="76" fillId="0" borderId="6" xfId="0" applyFont="1" applyBorder="1" applyAlignment="1">
      <alignment horizontal="distributed" vertical="distributed" justifyLastLine="1" shrinkToFit="1"/>
    </xf>
    <xf numFmtId="0" fontId="76" fillId="0" borderId="4" xfId="0" applyFont="1" applyBorder="1" applyAlignment="1">
      <alignment horizontal="distributed" vertical="distributed" justifyLastLine="1" shrinkToFit="1"/>
    </xf>
    <xf numFmtId="0" fontId="76" fillId="0" borderId="7" xfId="0" applyFont="1" applyBorder="1" applyAlignment="1">
      <alignment horizontal="distributed" vertical="distributed" justifyLastLine="1" shrinkToFit="1"/>
    </xf>
    <xf numFmtId="0" fontId="54" fillId="0" borderId="39" xfId="1" applyFont="1" applyBorder="1" applyAlignment="1">
      <alignment horizontal="center" vertical="center"/>
    </xf>
    <xf numFmtId="0" fontId="52" fillId="0" borderId="39" xfId="1" applyFont="1" applyBorder="1" applyAlignment="1">
      <alignment horizontal="center" vertical="center"/>
    </xf>
    <xf numFmtId="0" fontId="54" fillId="0" borderId="4" xfId="1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196" fontId="54" fillId="0" borderId="0" xfId="3" applyNumberFormat="1" applyFont="1" applyAlignment="1">
      <alignment horizontal="center" vertical="center"/>
    </xf>
    <xf numFmtId="0" fontId="54" fillId="0" borderId="0" xfId="3" applyFont="1" applyAlignment="1">
      <alignment horizontal="center" vertical="center"/>
    </xf>
    <xf numFmtId="0" fontId="116" fillId="0" borderId="13" xfId="3" applyFont="1" applyBorder="1" applyAlignment="1">
      <alignment horizontal="left" vertical="center"/>
    </xf>
    <xf numFmtId="0" fontId="116" fillId="0" borderId="0" xfId="3" applyFont="1" applyAlignment="1">
      <alignment horizontal="left" vertical="center"/>
    </xf>
    <xf numFmtId="0" fontId="116" fillId="0" borderId="49" xfId="3" applyFont="1" applyBorder="1" applyAlignment="1">
      <alignment horizontal="left" vertical="center"/>
    </xf>
    <xf numFmtId="0" fontId="116" fillId="0" borderId="41" xfId="3" applyFont="1" applyBorder="1" applyAlignment="1">
      <alignment horizontal="left" vertical="center"/>
    </xf>
    <xf numFmtId="0" fontId="116" fillId="0" borderId="16" xfId="3" applyFont="1" applyBorder="1" applyAlignment="1">
      <alignment horizontal="left" vertical="center"/>
    </xf>
    <xf numFmtId="0" fontId="116" fillId="0" borderId="58" xfId="3" applyFont="1" applyBorder="1" applyAlignment="1">
      <alignment horizontal="left" vertical="center"/>
    </xf>
    <xf numFmtId="0" fontId="116" fillId="6" borderId="0" xfId="3" applyFont="1" applyFill="1" applyAlignment="1">
      <alignment horizontal="center" vertical="center"/>
    </xf>
    <xf numFmtId="0" fontId="116" fillId="0" borderId="33" xfId="3" applyFont="1" applyBorder="1" applyAlignment="1">
      <alignment horizontal="left" vertical="center" indent="2"/>
    </xf>
    <xf numFmtId="0" fontId="116" fillId="0" borderId="3" xfId="3" applyFont="1" applyBorder="1" applyAlignment="1">
      <alignment horizontal="left" vertical="center" indent="2"/>
    </xf>
    <xf numFmtId="0" fontId="128" fillId="0" borderId="6" xfId="3" applyFont="1" applyBorder="1" applyAlignment="1">
      <alignment horizontal="center" vertical="center"/>
    </xf>
    <xf numFmtId="0" fontId="128" fillId="0" borderId="4" xfId="3" applyFont="1" applyBorder="1" applyAlignment="1">
      <alignment horizontal="center" vertical="center"/>
    </xf>
    <xf numFmtId="0" fontId="128" fillId="0" borderId="7" xfId="3" applyFont="1" applyBorder="1" applyAlignment="1">
      <alignment horizontal="center" vertical="center"/>
    </xf>
    <xf numFmtId="0" fontId="116" fillId="0" borderId="36" xfId="3" applyFont="1" applyBorder="1" applyAlignment="1">
      <alignment horizontal="center" vertical="center"/>
    </xf>
    <xf numFmtId="0" fontId="116" fillId="0" borderId="4" xfId="3" applyFont="1" applyBorder="1" applyAlignment="1">
      <alignment horizontal="center" vertical="center"/>
    </xf>
    <xf numFmtId="0" fontId="116" fillId="0" borderId="7" xfId="3" applyFont="1" applyBorder="1" applyAlignment="1">
      <alignment horizontal="center" vertical="center"/>
    </xf>
    <xf numFmtId="0" fontId="134" fillId="0" borderId="4" xfId="3" applyFont="1" applyBorder="1" applyAlignment="1">
      <alignment horizontal="distributed" vertical="center" justifyLastLine="1"/>
    </xf>
    <xf numFmtId="0" fontId="128" fillId="0" borderId="6" xfId="3" applyFont="1" applyBorder="1" applyAlignment="1">
      <alignment horizontal="center" vertical="center" shrinkToFit="1"/>
    </xf>
    <xf numFmtId="0" fontId="128" fillId="0" borderId="4" xfId="3" applyFont="1" applyBorder="1" applyAlignment="1">
      <alignment horizontal="center" vertical="center" shrinkToFit="1"/>
    </xf>
    <xf numFmtId="0" fontId="128" fillId="0" borderId="7" xfId="3" applyFont="1" applyBorder="1" applyAlignment="1">
      <alignment horizontal="center" vertical="center" shrinkToFit="1"/>
    </xf>
    <xf numFmtId="4" fontId="128" fillId="0" borderId="5" xfId="3" applyNumberFormat="1" applyFont="1" applyBorder="1" applyAlignment="1">
      <alignment horizontal="center" vertical="center"/>
    </xf>
    <xf numFmtId="0" fontId="133" fillId="0" borderId="3" xfId="3" applyFont="1" applyBorder="1" applyAlignment="1">
      <alignment horizontal="center" vertical="center" shrinkToFit="1"/>
    </xf>
    <xf numFmtId="0" fontId="133" fillId="0" borderId="10" xfId="3" applyFont="1" applyBorder="1" applyAlignment="1">
      <alignment horizontal="center" vertical="center" shrinkToFit="1"/>
    </xf>
    <xf numFmtId="0" fontId="128" fillId="0" borderId="8" xfId="3" applyFont="1" applyBorder="1" applyAlignment="1">
      <alignment horizontal="center" vertical="center"/>
    </xf>
    <xf numFmtId="0" fontId="128" fillId="0" borderId="3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 shrinkToFit="1"/>
    </xf>
    <xf numFmtId="0" fontId="128" fillId="0" borderId="10" xfId="3" applyFont="1" applyBorder="1" applyAlignment="1">
      <alignment horizontal="center" vertical="center"/>
    </xf>
    <xf numFmtId="0" fontId="129" fillId="0" borderId="0" xfId="3" applyFont="1" applyAlignment="1">
      <alignment horizontal="center" vertical="center"/>
    </xf>
    <xf numFmtId="0" fontId="128" fillId="0" borderId="2" xfId="3" applyFont="1" applyBorder="1" applyAlignment="1">
      <alignment horizontal="center" vertical="center"/>
    </xf>
    <xf numFmtId="0" fontId="128" fillId="0" borderId="11" xfId="3" applyFont="1" applyBorder="1" applyAlignment="1">
      <alignment horizontal="center" vertical="center"/>
    </xf>
    <xf numFmtId="201" fontId="128" fillId="0" borderId="8" xfId="3" applyNumberFormat="1" applyFont="1" applyBorder="1" applyAlignment="1">
      <alignment horizontal="center" vertical="center"/>
    </xf>
    <xf numFmtId="201" fontId="128" fillId="0" borderId="3" xfId="3" applyNumberFormat="1" applyFont="1" applyBorder="1" applyAlignment="1">
      <alignment horizontal="center" vertical="center"/>
    </xf>
    <xf numFmtId="201" fontId="128" fillId="0" borderId="9" xfId="3" applyNumberFormat="1" applyFont="1" applyBorder="1" applyAlignment="1">
      <alignment horizontal="center" vertical="center"/>
    </xf>
    <xf numFmtId="201" fontId="128" fillId="0" borderId="2" xfId="3" applyNumberFormat="1" applyFont="1" applyBorder="1" applyAlignment="1">
      <alignment horizontal="center" vertical="center"/>
    </xf>
    <xf numFmtId="180" fontId="128" fillId="0" borderId="8" xfId="3" applyNumberFormat="1" applyFont="1" applyBorder="1" applyAlignment="1">
      <alignment horizontal="center" vertical="center" shrinkToFit="1"/>
    </xf>
    <xf numFmtId="180" fontId="128" fillId="0" borderId="3" xfId="3" applyNumberFormat="1" applyFont="1" applyBorder="1" applyAlignment="1">
      <alignment horizontal="center" vertical="center" shrinkToFit="1"/>
    </xf>
    <xf numFmtId="180" fontId="128" fillId="0" borderId="10" xfId="3" applyNumberFormat="1" applyFont="1" applyBorder="1" applyAlignment="1">
      <alignment horizontal="center" vertical="center" shrinkToFit="1"/>
    </xf>
    <xf numFmtId="0" fontId="160" fillId="0" borderId="8" xfId="3" applyFont="1" applyBorder="1" applyAlignment="1">
      <alignment horizontal="center" vertical="center" wrapText="1" shrinkToFit="1"/>
    </xf>
    <xf numFmtId="0" fontId="160" fillId="0" borderId="50" xfId="3" applyFont="1" applyBorder="1" applyAlignment="1">
      <alignment horizontal="center" vertical="center" wrapText="1" shrinkToFit="1"/>
    </xf>
    <xf numFmtId="0" fontId="128" fillId="0" borderId="37" xfId="3" applyFont="1" applyBorder="1" applyAlignment="1">
      <alignment horizontal="center" vertical="center" wrapText="1"/>
    </xf>
    <xf numFmtId="0" fontId="128" fillId="0" borderId="37" xfId="3" applyFont="1" applyBorder="1" applyAlignment="1">
      <alignment horizontal="center" vertical="center"/>
    </xf>
    <xf numFmtId="0" fontId="128" fillId="0" borderId="9" xfId="3" applyFont="1" applyBorder="1" applyAlignment="1">
      <alignment horizontal="center" vertical="center"/>
    </xf>
    <xf numFmtId="0" fontId="128" fillId="0" borderId="8" xfId="3" applyFont="1" applyBorder="1" applyAlignment="1">
      <alignment horizontal="center" vertical="center" wrapText="1"/>
    </xf>
    <xf numFmtId="0" fontId="128" fillId="0" borderId="3" xfId="3" applyFont="1" applyBorder="1" applyAlignment="1">
      <alignment horizontal="center" vertical="center" wrapText="1"/>
    </xf>
    <xf numFmtId="0" fontId="128" fillId="0" borderId="10" xfId="3" applyFont="1" applyBorder="1" applyAlignment="1">
      <alignment horizontal="center" vertical="center" wrapText="1"/>
    </xf>
    <xf numFmtId="0" fontId="128" fillId="0" borderId="9" xfId="3" applyFont="1" applyBorder="1" applyAlignment="1">
      <alignment horizontal="center" vertical="center" wrapText="1"/>
    </xf>
    <xf numFmtId="0" fontId="128" fillId="0" borderId="2" xfId="3" applyFont="1" applyBorder="1" applyAlignment="1">
      <alignment horizontal="center" vertical="center" wrapText="1"/>
    </xf>
    <xf numFmtId="0" fontId="128" fillId="0" borderId="11" xfId="3" applyFont="1" applyBorder="1" applyAlignment="1">
      <alignment horizontal="center" vertical="center" wrapText="1"/>
    </xf>
    <xf numFmtId="0" fontId="128" fillId="0" borderId="6" xfId="3" applyFont="1" applyBorder="1" applyAlignment="1">
      <alignment horizontal="center" vertical="center" wrapText="1"/>
    </xf>
    <xf numFmtId="0" fontId="128" fillId="0" borderId="4" xfId="3" applyFont="1" applyBorder="1" applyAlignment="1">
      <alignment horizontal="center" vertical="center" wrapText="1"/>
    </xf>
    <xf numFmtId="0" fontId="128" fillId="0" borderId="7" xfId="3" applyFont="1" applyBorder="1" applyAlignment="1">
      <alignment horizontal="center" vertical="center" wrapText="1"/>
    </xf>
    <xf numFmtId="0" fontId="128" fillId="0" borderId="6" xfId="3" applyFont="1" applyBorder="1" applyAlignment="1">
      <alignment horizontal="left" vertical="center" indent="1"/>
    </xf>
    <xf numFmtId="0" fontId="128" fillId="0" borderId="4" xfId="3" applyFont="1" applyBorder="1" applyAlignment="1">
      <alignment horizontal="left" vertical="center" indent="1"/>
    </xf>
    <xf numFmtId="0" fontId="128" fillId="0" borderId="34" xfId="3" applyFont="1" applyBorder="1" applyAlignment="1">
      <alignment horizontal="left" vertical="center" indent="1"/>
    </xf>
    <xf numFmtId="0" fontId="128" fillId="0" borderId="4" xfId="1" applyFont="1" applyBorder="1" applyAlignment="1">
      <alignment horizontal="center" vertical="center"/>
    </xf>
    <xf numFmtId="0" fontId="128" fillId="0" borderId="34" xfId="1" applyFont="1" applyBorder="1" applyAlignment="1">
      <alignment horizontal="center" vertical="center"/>
    </xf>
    <xf numFmtId="0" fontId="128" fillId="0" borderId="6" xfId="3" applyFont="1" applyBorder="1" applyAlignment="1">
      <alignment horizontal="center" vertical="center" wrapText="1" shrinkToFit="1"/>
    </xf>
    <xf numFmtId="0" fontId="128" fillId="0" borderId="4" xfId="3" applyFont="1" applyBorder="1" applyAlignment="1">
      <alignment horizontal="center" vertical="center" wrapText="1" shrinkToFit="1"/>
    </xf>
    <xf numFmtId="0" fontId="128" fillId="0" borderId="34" xfId="3" applyFont="1" applyBorder="1" applyAlignment="1">
      <alignment horizontal="center" vertical="center" wrapText="1" shrinkToFit="1"/>
    </xf>
    <xf numFmtId="0" fontId="136" fillId="0" borderId="28" xfId="3" applyFont="1" applyBorder="1" applyAlignment="1">
      <alignment horizontal="center" vertical="center" wrapText="1"/>
    </xf>
    <xf numFmtId="0" fontId="136" fillId="0" borderId="38" xfId="3" applyFont="1" applyBorder="1" applyAlignment="1">
      <alignment horizontal="center" vertical="center" wrapText="1"/>
    </xf>
    <xf numFmtId="0" fontId="136" fillId="0" borderId="40" xfId="3" applyFont="1" applyBorder="1" applyAlignment="1">
      <alignment horizontal="center" vertical="center" wrapText="1"/>
    </xf>
    <xf numFmtId="0" fontId="128" fillId="0" borderId="5" xfId="1" applyFont="1" applyBorder="1" applyAlignment="1">
      <alignment horizontal="center" vertical="center"/>
    </xf>
    <xf numFmtId="179" fontId="78" fillId="0" borderId="6" xfId="3" applyNumberFormat="1" applyFont="1" applyBorder="1" applyAlignment="1">
      <alignment horizontal="center" vertical="center" shrinkToFit="1"/>
    </xf>
    <xf numFmtId="179" fontId="78" fillId="0" borderId="4" xfId="3" applyNumberFormat="1" applyFont="1" applyBorder="1" applyAlignment="1">
      <alignment horizontal="center" vertical="center" shrinkToFit="1"/>
    </xf>
    <xf numFmtId="179" fontId="78" fillId="0" borderId="34" xfId="3" applyNumberFormat="1" applyFont="1" applyBorder="1" applyAlignment="1">
      <alignment horizontal="center" vertical="center" shrinkToFit="1"/>
    </xf>
    <xf numFmtId="0" fontId="128" fillId="0" borderId="3" xfId="3" applyFont="1" applyBorder="1" applyAlignment="1">
      <alignment horizontal="center" vertical="center" shrinkToFit="1"/>
    </xf>
    <xf numFmtId="0" fontId="128" fillId="0" borderId="50" xfId="3" applyFont="1" applyBorder="1" applyAlignment="1">
      <alignment horizontal="center" vertical="center" shrinkToFit="1"/>
    </xf>
    <xf numFmtId="0" fontId="128" fillId="0" borderId="2" xfId="3" applyFont="1" applyBorder="1" applyAlignment="1">
      <alignment horizontal="center" vertical="center" shrinkToFit="1"/>
    </xf>
    <xf numFmtId="0" fontId="128" fillId="0" borderId="51" xfId="3" applyFont="1" applyBorder="1" applyAlignment="1">
      <alignment horizontal="center" vertical="center" shrinkToFit="1"/>
    </xf>
    <xf numFmtId="0" fontId="128" fillId="0" borderId="34" xfId="3" applyFont="1" applyBorder="1" applyAlignment="1">
      <alignment horizontal="center" vertical="center"/>
    </xf>
    <xf numFmtId="14" fontId="128" fillId="0" borderId="6" xfId="3" applyNumberFormat="1" applyFont="1" applyBorder="1" applyAlignment="1">
      <alignment horizontal="center" vertical="center"/>
    </xf>
    <xf numFmtId="14" fontId="128" fillId="0" borderId="4" xfId="3" applyNumberFormat="1" applyFont="1" applyBorder="1" applyAlignment="1">
      <alignment horizontal="center" vertical="center"/>
    </xf>
    <xf numFmtId="14" fontId="128" fillId="0" borderId="7" xfId="3" applyNumberFormat="1" applyFont="1" applyBorder="1" applyAlignment="1">
      <alignment horizontal="center" vertical="center"/>
    </xf>
    <xf numFmtId="0" fontId="128" fillId="0" borderId="6" xfId="3" applyFont="1" applyBorder="1" applyAlignment="1">
      <alignment horizontal="distributed" vertical="center"/>
    </xf>
    <xf numFmtId="0" fontId="128" fillId="0" borderId="4" xfId="3" applyFont="1" applyBorder="1" applyAlignment="1">
      <alignment horizontal="distributed" vertical="center"/>
    </xf>
    <xf numFmtId="0" fontId="128" fillId="0" borderId="16" xfId="3" applyFont="1" applyBorder="1" applyAlignment="1">
      <alignment horizontal="left" vertical="center"/>
    </xf>
    <xf numFmtId="0" fontId="135" fillId="0" borderId="30" xfId="3" applyFont="1" applyBorder="1" applyAlignment="1">
      <alignment horizontal="center" vertical="center"/>
    </xf>
    <xf numFmtId="0" fontId="135" fillId="0" borderId="31" xfId="3" applyFont="1" applyBorder="1" applyAlignment="1">
      <alignment horizontal="center" vertical="center"/>
    </xf>
    <xf numFmtId="0" fontId="135" fillId="0" borderId="68" xfId="3" applyFont="1" applyBorder="1" applyAlignment="1">
      <alignment horizontal="center" vertical="center"/>
    </xf>
    <xf numFmtId="0" fontId="128" fillId="0" borderId="5" xfId="3" applyFont="1" applyBorder="1" applyAlignment="1">
      <alignment horizontal="center" vertical="center" wrapText="1"/>
    </xf>
    <xf numFmtId="0" fontId="128" fillId="0" borderId="34" xfId="3" applyFont="1" applyBorder="1" applyAlignment="1">
      <alignment horizontal="center" vertical="center" shrinkToFit="1"/>
    </xf>
    <xf numFmtId="0" fontId="128" fillId="0" borderId="8" xfId="3" applyFont="1" applyBorder="1" applyAlignment="1">
      <alignment horizontal="center" vertical="center" shrinkToFit="1"/>
    </xf>
    <xf numFmtId="0" fontId="128" fillId="0" borderId="10" xfId="3" applyFont="1" applyBorder="1" applyAlignment="1">
      <alignment horizontal="center" vertical="center" shrinkToFit="1"/>
    </xf>
    <xf numFmtId="0" fontId="128" fillId="0" borderId="9" xfId="3" applyFont="1" applyBorder="1" applyAlignment="1">
      <alignment horizontal="center" vertical="center" shrinkToFit="1"/>
    </xf>
    <xf numFmtId="0" fontId="128" fillId="0" borderId="11" xfId="3" applyFont="1" applyBorder="1" applyAlignment="1">
      <alignment horizontal="center" vertical="center" shrinkToFit="1"/>
    </xf>
    <xf numFmtId="3" fontId="128" fillId="0" borderId="5" xfId="3" applyNumberFormat="1" applyFont="1" applyBorder="1" applyAlignment="1">
      <alignment horizontal="center" vertical="center"/>
    </xf>
    <xf numFmtId="0" fontId="132" fillId="0" borderId="0" xfId="3" applyFont="1" applyAlignment="1">
      <alignment horizontal="distributed" vertical="center"/>
    </xf>
    <xf numFmtId="0" fontId="78" fillId="0" borderId="8" xfId="3" applyFont="1" applyBorder="1" applyAlignment="1">
      <alignment horizontal="center" vertical="center"/>
    </xf>
    <xf numFmtId="0" fontId="78" fillId="0" borderId="3" xfId="3" applyFont="1" applyBorder="1" applyAlignment="1">
      <alignment horizontal="center" vertical="center"/>
    </xf>
    <xf numFmtId="0" fontId="78" fillId="0" borderId="10" xfId="3" applyFont="1" applyBorder="1" applyAlignment="1">
      <alignment horizontal="center" vertical="center"/>
    </xf>
    <xf numFmtId="0" fontId="78" fillId="0" borderId="1" xfId="3" applyFont="1" applyBorder="1" applyAlignment="1">
      <alignment horizontal="center" vertical="center"/>
    </xf>
    <xf numFmtId="0" fontId="78" fillId="0" borderId="0" xfId="3" applyFont="1" applyAlignment="1">
      <alignment horizontal="center" vertical="center"/>
    </xf>
    <xf numFmtId="0" fontId="78" fillId="0" borderId="12" xfId="3" applyFont="1" applyBorder="1" applyAlignment="1">
      <alignment horizontal="center" vertical="center"/>
    </xf>
    <xf numFmtId="0" fontId="78" fillId="0" borderId="9" xfId="3" applyFont="1" applyBorder="1" applyAlignment="1">
      <alignment horizontal="center" vertical="center"/>
    </xf>
    <xf numFmtId="0" fontId="78" fillId="0" borderId="2" xfId="3" applyFont="1" applyBorder="1" applyAlignment="1">
      <alignment horizontal="center" vertical="center"/>
    </xf>
    <xf numFmtId="0" fontId="78" fillId="0" borderId="11" xfId="3" applyFont="1" applyBorder="1" applyAlignment="1">
      <alignment horizontal="center" vertical="center"/>
    </xf>
    <xf numFmtId="179" fontId="78" fillId="0" borderId="7" xfId="3" applyNumberFormat="1" applyFont="1" applyBorder="1" applyAlignment="1">
      <alignment horizontal="center" vertical="center" shrinkToFit="1"/>
    </xf>
    <xf numFmtId="205" fontId="128" fillId="0" borderId="6" xfId="7" applyNumberFormat="1" applyFont="1" applyBorder="1" applyAlignment="1">
      <alignment horizontal="center" vertical="center"/>
    </xf>
    <xf numFmtId="205" fontId="128" fillId="0" borderId="4" xfId="7" applyNumberFormat="1" applyFont="1" applyBorder="1" applyAlignment="1">
      <alignment horizontal="center" vertical="center"/>
    </xf>
    <xf numFmtId="205" fontId="128" fillId="0" borderId="34" xfId="7" applyNumberFormat="1" applyFont="1" applyBorder="1" applyAlignment="1">
      <alignment horizontal="center" vertical="center"/>
    </xf>
    <xf numFmtId="0" fontId="132" fillId="0" borderId="0" xfId="3" applyFont="1" applyAlignment="1">
      <alignment horizontal="center" vertical="center" shrinkToFit="1"/>
    </xf>
    <xf numFmtId="0" fontId="128" fillId="0" borderId="6" xfId="1" applyFont="1" applyBorder="1" applyAlignment="1">
      <alignment horizontal="center" vertical="center"/>
    </xf>
    <xf numFmtId="184" fontId="128" fillId="0" borderId="6" xfId="3" applyNumberFormat="1" applyFont="1" applyBorder="1" applyAlignment="1">
      <alignment horizontal="center" vertical="center"/>
    </xf>
    <xf numFmtId="184" fontId="128" fillId="0" borderId="4" xfId="3" applyNumberFormat="1" applyFont="1" applyBorder="1" applyAlignment="1">
      <alignment horizontal="center" vertical="center"/>
    </xf>
    <xf numFmtId="184" fontId="128" fillId="0" borderId="7" xfId="3" applyNumberFormat="1" applyFont="1" applyBorder="1" applyAlignment="1">
      <alignment horizontal="center" vertical="center"/>
    </xf>
    <xf numFmtId="183" fontId="128" fillId="0" borderId="6" xfId="3" applyNumberFormat="1" applyFont="1" applyBorder="1" applyAlignment="1">
      <alignment horizontal="center" vertical="center" shrinkToFit="1"/>
    </xf>
    <xf numFmtId="183" fontId="128" fillId="0" borderId="7" xfId="3" applyNumberFormat="1" applyFont="1" applyBorder="1" applyAlignment="1">
      <alignment horizontal="center" vertical="center" shrinkToFit="1"/>
    </xf>
    <xf numFmtId="183" fontId="128" fillId="0" borderId="6" xfId="3" applyNumberFormat="1" applyFont="1" applyBorder="1" applyAlignment="1">
      <alignment horizontal="center" vertical="center"/>
    </xf>
    <xf numFmtId="183" fontId="128" fillId="0" borderId="7" xfId="3" applyNumberFormat="1" applyFont="1" applyBorder="1" applyAlignment="1">
      <alignment horizontal="center" vertical="center"/>
    </xf>
    <xf numFmtId="179" fontId="128" fillId="0" borderId="6" xfId="3" applyNumberFormat="1" applyFont="1" applyBorder="1" applyAlignment="1">
      <alignment horizontal="center" vertical="center" shrinkToFit="1"/>
    </xf>
    <xf numFmtId="179" fontId="128" fillId="0" borderId="4" xfId="3" applyNumberFormat="1" applyFont="1" applyBorder="1" applyAlignment="1">
      <alignment horizontal="center" vertical="center" shrinkToFit="1"/>
    </xf>
    <xf numFmtId="179" fontId="128" fillId="0" borderId="7" xfId="3" applyNumberFormat="1" applyFont="1" applyBorder="1" applyAlignment="1">
      <alignment horizontal="center" vertical="center" shrinkToFit="1"/>
    </xf>
    <xf numFmtId="179" fontId="128" fillId="0" borderId="34" xfId="3" applyNumberFormat="1" applyFont="1" applyBorder="1" applyAlignment="1">
      <alignment horizontal="center" vertical="center" shrinkToFit="1"/>
    </xf>
    <xf numFmtId="191" fontId="128" fillId="0" borderId="6" xfId="3" applyNumberFormat="1" applyFont="1" applyBorder="1" applyAlignment="1">
      <alignment horizontal="center" vertical="center"/>
    </xf>
    <xf numFmtId="191" fontId="128" fillId="0" borderId="4" xfId="3" applyNumberFormat="1" applyFont="1" applyBorder="1" applyAlignment="1">
      <alignment horizontal="center" vertical="center"/>
    </xf>
    <xf numFmtId="191" fontId="128" fillId="0" borderId="7" xfId="3" applyNumberFormat="1" applyFont="1" applyBorder="1" applyAlignment="1">
      <alignment horizontal="center" vertical="center"/>
    </xf>
    <xf numFmtId="0" fontId="129" fillId="0" borderId="87" xfId="3" applyFont="1" applyBorder="1" applyAlignment="1">
      <alignment horizontal="center" vertical="center"/>
    </xf>
    <xf numFmtId="0" fontId="128" fillId="0" borderId="28" xfId="3" applyFont="1" applyBorder="1" applyAlignment="1">
      <alignment horizontal="center" vertical="center" wrapText="1"/>
    </xf>
    <xf numFmtId="0" fontId="128" fillId="0" borderId="38" xfId="3" applyFont="1" applyBorder="1" applyAlignment="1">
      <alignment horizontal="center" vertical="center" wrapText="1"/>
    </xf>
    <xf numFmtId="0" fontId="128" fillId="0" borderId="40" xfId="3" applyFont="1" applyBorder="1" applyAlignment="1">
      <alignment horizontal="center" vertical="center" wrapText="1"/>
    </xf>
    <xf numFmtId="0" fontId="128" fillId="0" borderId="1" xfId="3" applyFont="1" applyBorder="1" applyAlignment="1">
      <alignment horizontal="center" vertical="center"/>
    </xf>
    <xf numFmtId="0" fontId="128" fillId="0" borderId="0" xfId="3" applyFont="1" applyAlignment="1">
      <alignment horizontal="center" vertical="center"/>
    </xf>
    <xf numFmtId="0" fontId="128" fillId="0" borderId="12" xfId="3" applyFont="1" applyBorder="1" applyAlignment="1">
      <alignment horizontal="center" vertical="center"/>
    </xf>
    <xf numFmtId="0" fontId="132" fillId="0" borderId="87" xfId="3" applyFont="1" applyBorder="1" applyAlignment="1">
      <alignment horizontal="center" vertical="center"/>
    </xf>
    <xf numFmtId="0" fontId="129" fillId="0" borderId="113" xfId="3" applyFont="1" applyBorder="1" applyAlignment="1">
      <alignment horizontal="center" vertical="center"/>
    </xf>
    <xf numFmtId="0" fontId="129" fillId="0" borderId="114" xfId="3" applyFont="1" applyBorder="1" applyAlignment="1">
      <alignment horizontal="center" vertical="center"/>
    </xf>
    <xf numFmtId="0" fontId="129" fillId="0" borderId="115" xfId="3" applyFont="1" applyBorder="1" applyAlignment="1">
      <alignment horizontal="center" vertical="center"/>
    </xf>
    <xf numFmtId="0" fontId="132" fillId="0" borderId="116" xfId="3" applyFont="1" applyBorder="1" applyAlignment="1">
      <alignment horizontal="center" vertical="center"/>
    </xf>
    <xf numFmtId="0" fontId="132" fillId="0" borderId="117" xfId="3" applyFont="1" applyBorder="1" applyAlignment="1">
      <alignment horizontal="center" vertical="center"/>
    </xf>
    <xf numFmtId="0" fontId="129" fillId="0" borderId="116" xfId="3" applyFont="1" applyBorder="1" applyAlignment="1">
      <alignment horizontal="center" vertical="center"/>
    </xf>
    <xf numFmtId="0" fontId="129" fillId="0" borderId="117" xfId="3" applyFont="1" applyBorder="1" applyAlignment="1">
      <alignment horizontal="center" vertical="center"/>
    </xf>
    <xf numFmtId="0" fontId="129" fillId="0" borderId="118" xfId="3" applyFont="1" applyBorder="1" applyAlignment="1">
      <alignment horizontal="center" vertical="center"/>
    </xf>
    <xf numFmtId="0" fontId="129" fillId="0" borderId="119" xfId="3" applyFont="1" applyBorder="1" applyAlignment="1">
      <alignment horizontal="center" vertical="center"/>
    </xf>
    <xf numFmtId="0" fontId="59" fillId="0" borderId="0" xfId="3" applyFont="1" applyAlignment="1">
      <alignment horizontal="center" vertical="center"/>
    </xf>
    <xf numFmtId="0" fontId="132" fillId="0" borderId="0" xfId="3" applyFont="1" applyAlignment="1">
      <alignment horizontal="center" vertical="center"/>
    </xf>
    <xf numFmtId="0" fontId="129" fillId="0" borderId="2" xfId="3" applyFont="1" applyBorder="1" applyAlignment="1">
      <alignment horizontal="center" vertical="center"/>
    </xf>
    <xf numFmtId="196" fontId="129" fillId="0" borderId="2" xfId="3" applyNumberFormat="1" applyFont="1" applyBorder="1" applyAlignment="1">
      <alignment horizontal="center" vertical="center"/>
    </xf>
    <xf numFmtId="0" fontId="132" fillId="0" borderId="18" xfId="3" applyFont="1" applyBorder="1" applyAlignment="1">
      <alignment horizontal="center" vertical="center"/>
    </xf>
    <xf numFmtId="196" fontId="132" fillId="0" borderId="18" xfId="3" applyNumberFormat="1" applyFont="1" applyBorder="1" applyAlignment="1">
      <alignment horizontal="center" vertical="center"/>
    </xf>
    <xf numFmtId="0" fontId="128" fillId="0" borderId="0" xfId="3" applyFont="1" applyAlignment="1">
      <alignment horizontal="left" vertical="center" shrinkToFit="1"/>
    </xf>
    <xf numFmtId="0" fontId="128" fillId="0" borderId="6" xfId="3" quotePrefix="1" applyFont="1" applyBorder="1" applyAlignment="1">
      <alignment horizontal="center" vertical="center"/>
    </xf>
    <xf numFmtId="0" fontId="133" fillId="0" borderId="6" xfId="3" applyFont="1" applyBorder="1" applyAlignment="1">
      <alignment horizontal="center" vertical="center" shrinkToFit="1"/>
    </xf>
    <xf numFmtId="0" fontId="133" fillId="0" borderId="4" xfId="3" applyFont="1" applyBorder="1" applyAlignment="1">
      <alignment horizontal="center" vertical="center" shrinkToFit="1"/>
    </xf>
    <xf numFmtId="0" fontId="133" fillId="0" borderId="7" xfId="3" applyFont="1" applyBorder="1" applyAlignment="1">
      <alignment horizontal="center" vertical="center" shrinkToFit="1"/>
    </xf>
    <xf numFmtId="0" fontId="133" fillId="0" borderId="86" xfId="3" applyFont="1" applyBorder="1" applyAlignment="1">
      <alignment horizontal="center" vertical="center" shrinkToFit="1"/>
    </xf>
    <xf numFmtId="0" fontId="133" fillId="0" borderId="42" xfId="3" applyFont="1" applyBorder="1" applyAlignment="1">
      <alignment horizontal="center" vertical="center" shrinkToFit="1"/>
    </xf>
    <xf numFmtId="0" fontId="133" fillId="0" borderId="84" xfId="3" applyFont="1" applyBorder="1" applyAlignment="1">
      <alignment horizontal="center" vertical="center" shrinkToFit="1"/>
    </xf>
    <xf numFmtId="0" fontId="128" fillId="0" borderId="86" xfId="3" applyFont="1" applyBorder="1" applyAlignment="1">
      <alignment horizontal="center" vertical="center"/>
    </xf>
    <xf numFmtId="0" fontId="128" fillId="0" borderId="42" xfId="3" applyFont="1" applyBorder="1" applyAlignment="1">
      <alignment horizontal="center" vertical="center"/>
    </xf>
    <xf numFmtId="0" fontId="128" fillId="0" borderId="23" xfId="3" applyFont="1" applyBorder="1" applyAlignment="1">
      <alignment horizontal="center" vertical="center" wrapText="1"/>
    </xf>
    <xf numFmtId="0" fontId="129" fillId="0" borderId="6" xfId="3" applyFont="1" applyBorder="1" applyAlignment="1">
      <alignment horizontal="center" vertical="center"/>
    </xf>
    <xf numFmtId="0" fontId="129" fillId="0" borderId="4" xfId="3" applyFont="1" applyBorder="1" applyAlignment="1">
      <alignment horizontal="center" vertical="center"/>
    </xf>
    <xf numFmtId="0" fontId="129" fillId="0" borderId="7" xfId="3" applyFont="1" applyBorder="1" applyAlignment="1">
      <alignment horizontal="center" vertical="center"/>
    </xf>
    <xf numFmtId="196" fontId="129" fillId="0" borderId="6" xfId="3" applyNumberFormat="1" applyFont="1" applyBorder="1" applyAlignment="1">
      <alignment horizontal="center" vertical="center"/>
    </xf>
    <xf numFmtId="196" fontId="129" fillId="0" borderId="4" xfId="3" applyNumberFormat="1" applyFont="1" applyBorder="1" applyAlignment="1">
      <alignment horizontal="center" vertical="center"/>
    </xf>
    <xf numFmtId="196" fontId="129" fillId="0" borderId="7" xfId="3" applyNumberFormat="1" applyFont="1" applyBorder="1" applyAlignment="1">
      <alignment horizontal="center" vertical="center"/>
    </xf>
    <xf numFmtId="0" fontId="132" fillId="0" borderId="5" xfId="3" applyFont="1" applyBorder="1" applyAlignment="1">
      <alignment horizontal="center" vertical="center"/>
    </xf>
    <xf numFmtId="196" fontId="129" fillId="0" borderId="5" xfId="3" applyNumberFormat="1" applyFont="1" applyBorder="1" applyAlignment="1">
      <alignment horizontal="center" vertical="center"/>
    </xf>
    <xf numFmtId="0" fontId="129" fillId="0" borderId="5" xfId="3" applyFont="1" applyBorder="1" applyAlignment="1">
      <alignment horizontal="center" vertical="center"/>
    </xf>
    <xf numFmtId="4" fontId="149" fillId="0" borderId="6" xfId="3" applyNumberFormat="1" applyFont="1" applyBorder="1" applyAlignment="1">
      <alignment horizontal="center" vertical="center"/>
    </xf>
    <xf numFmtId="4" fontId="149" fillId="0" borderId="7" xfId="3" applyNumberFormat="1" applyFont="1" applyBorder="1" applyAlignment="1">
      <alignment horizontal="center" vertical="center"/>
    </xf>
    <xf numFmtId="3" fontId="128" fillId="0" borderId="6" xfId="3" applyNumberFormat="1" applyFont="1" applyBorder="1" applyAlignment="1">
      <alignment horizontal="center" vertical="center"/>
    </xf>
    <xf numFmtId="3" fontId="128" fillId="0" borderId="7" xfId="3" applyNumberFormat="1" applyFont="1" applyBorder="1" applyAlignment="1">
      <alignment horizontal="center" vertical="center"/>
    </xf>
    <xf numFmtId="0" fontId="128" fillId="0" borderId="1" xfId="3" applyFont="1" applyBorder="1" applyAlignment="1">
      <alignment horizontal="center" vertical="center" shrinkToFit="1"/>
    </xf>
    <xf numFmtId="0" fontId="128" fillId="0" borderId="0" xfId="3" applyFont="1" applyAlignment="1">
      <alignment horizontal="center" vertical="center" shrinkToFit="1"/>
    </xf>
    <xf numFmtId="0" fontId="128" fillId="0" borderId="49" xfId="3" applyFont="1" applyBorder="1" applyAlignment="1">
      <alignment horizontal="center" vertical="center" shrinkToFit="1"/>
    </xf>
    <xf numFmtId="0" fontId="116" fillId="0" borderId="0" xfId="3" applyFont="1" applyAlignment="1">
      <alignment horizontal="center" vertical="center"/>
    </xf>
    <xf numFmtId="0" fontId="136" fillId="0" borderId="6" xfId="3" applyFont="1" applyBorder="1" applyAlignment="1">
      <alignment horizontal="center" vertical="center" wrapText="1"/>
    </xf>
    <xf numFmtId="0" fontId="136" fillId="0" borderId="7" xfId="3" applyFont="1" applyBorder="1" applyAlignment="1">
      <alignment horizontal="center" vertical="center" wrapText="1"/>
    </xf>
    <xf numFmtId="0" fontId="149" fillId="0" borderId="5" xfId="1" applyFont="1" applyBorder="1" applyAlignment="1">
      <alignment horizontal="center" vertical="center"/>
    </xf>
    <xf numFmtId="0" fontId="37" fillId="4" borderId="70" xfId="0" applyFont="1" applyFill="1" applyBorder="1" applyAlignment="1">
      <alignment horizontal="center" vertical="center"/>
    </xf>
    <xf numFmtId="0" fontId="37" fillId="4" borderId="69" xfId="0" applyFont="1" applyFill="1" applyBorder="1" applyAlignment="1">
      <alignment horizontal="center" vertical="center"/>
    </xf>
    <xf numFmtId="14" fontId="170" fillId="15" borderId="89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80" xfId="0" applyFont="1" applyFill="1" applyBorder="1" applyAlignment="1" applyProtection="1">
      <alignment horizontal="center" vertical="center"/>
      <protection locked="0"/>
    </xf>
    <xf numFmtId="0" fontId="170" fillId="15" borderId="80" xfId="0" quotePrefix="1" applyFont="1" applyFill="1" applyBorder="1" applyAlignment="1" applyProtection="1">
      <alignment horizontal="center" vertical="center"/>
      <protection locked="0"/>
    </xf>
    <xf numFmtId="176" fontId="170" fillId="15" borderId="80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90" xfId="0" applyFont="1" applyFill="1" applyBorder="1" applyAlignment="1" applyProtection="1">
      <alignment horizontal="center" vertical="center"/>
      <protection locked="0"/>
    </xf>
    <xf numFmtId="0" fontId="170" fillId="16" borderId="30" xfId="0" applyFont="1" applyFill="1" applyBorder="1" applyAlignment="1" applyProtection="1">
      <alignment horizontal="center" vertical="center"/>
      <protection locked="0"/>
    </xf>
    <xf numFmtId="0" fontId="170" fillId="16" borderId="31" xfId="0" applyFont="1" applyFill="1" applyBorder="1" applyAlignment="1" applyProtection="1">
      <alignment horizontal="center" vertical="center"/>
      <protection locked="0"/>
    </xf>
    <xf numFmtId="0" fontId="170" fillId="16" borderId="68" xfId="0" applyFont="1" applyFill="1" applyBorder="1" applyAlignment="1" applyProtection="1">
      <alignment horizontal="center" vertical="center"/>
      <protection locked="0"/>
    </xf>
    <xf numFmtId="14" fontId="170" fillId="15" borderId="28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17" xfId="0" applyFont="1" applyFill="1" applyBorder="1" applyAlignment="1" applyProtection="1">
      <alignment horizontal="center" vertical="center"/>
      <protection locked="0"/>
    </xf>
    <xf numFmtId="0" fontId="170" fillId="15" borderId="17" xfId="0" quotePrefix="1" applyFont="1" applyFill="1" applyBorder="1" applyAlignment="1" applyProtection="1">
      <alignment horizontal="center" vertical="center"/>
      <protection locked="0"/>
    </xf>
    <xf numFmtId="176" fontId="170" fillId="15" borderId="17" xfId="0" quotePrefix="1" applyNumberFormat="1" applyFont="1" applyFill="1" applyBorder="1" applyAlignment="1" applyProtection="1">
      <alignment horizontal="center" vertical="center"/>
      <protection locked="0"/>
    </xf>
    <xf numFmtId="0" fontId="170" fillId="15" borderId="29" xfId="0" applyFont="1" applyFill="1" applyBorder="1" applyAlignment="1" applyProtection="1">
      <alignment horizontal="center" vertical="center"/>
      <protection locked="0"/>
    </xf>
    <xf numFmtId="178" fontId="52" fillId="6" borderId="0" xfId="1" applyNumberFormat="1" applyFont="1" applyFill="1" applyAlignment="1" applyProtection="1">
      <alignment horizontal="center" vertical="center" shrinkToFit="1"/>
      <protection locked="0"/>
    </xf>
    <xf numFmtId="0" fontId="62" fillId="0" borderId="0" xfId="1" applyFont="1" applyAlignment="1" applyProtection="1">
      <alignment horizontal="left" vertical="center"/>
      <protection locked="0"/>
    </xf>
    <xf numFmtId="0" fontId="56" fillId="0" borderId="0" xfId="1" applyFont="1" applyAlignment="1" applyProtection="1">
      <alignment horizontal="left" vertical="center"/>
      <protection locked="0"/>
    </xf>
    <xf numFmtId="0" fontId="56" fillId="0" borderId="0" xfId="1" applyFont="1" applyAlignment="1" applyProtection="1">
      <alignment horizontal="right" vertical="center" shrinkToFit="1"/>
      <protection locked="0"/>
    </xf>
    <xf numFmtId="178" fontId="52" fillId="6" borderId="5" xfId="1" applyNumberFormat="1" applyFont="1" applyFill="1" applyBorder="1" applyAlignment="1" applyProtection="1">
      <alignment horizontal="center" vertical="center" shrinkToFit="1"/>
      <protection locked="0"/>
    </xf>
    <xf numFmtId="0" fontId="52" fillId="6" borderId="5" xfId="1" applyFont="1" applyFill="1" applyBorder="1" applyAlignment="1" applyProtection="1">
      <alignment horizontal="center" vertical="center" shrinkToFit="1"/>
      <protection locked="0"/>
    </xf>
    <xf numFmtId="178" fontId="52" fillId="0" borderId="5" xfId="1" applyNumberFormat="1" applyFont="1" applyBorder="1" applyAlignment="1" applyProtection="1">
      <alignment horizontal="center" vertical="center" shrinkToFit="1"/>
      <protection locked="0"/>
    </xf>
    <xf numFmtId="178" fontId="52" fillId="0" borderId="5" xfId="1" applyNumberFormat="1" applyFont="1" applyBorder="1" applyAlignment="1">
      <alignment horizontal="center" vertical="center" shrinkToFit="1"/>
    </xf>
    <xf numFmtId="0" fontId="52" fillId="6" borderId="0" xfId="1" applyFont="1" applyFill="1" applyAlignment="1" applyProtection="1">
      <alignment horizontal="center" vertical="center" shrinkToFit="1"/>
      <protection locked="0"/>
    </xf>
    <xf numFmtId="180" fontId="52" fillId="6" borderId="0" xfId="1" applyNumberFormat="1" applyFont="1" applyFill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/>
      <protection locked="0"/>
    </xf>
    <xf numFmtId="0" fontId="52" fillId="8" borderId="5" xfId="1" applyFont="1" applyFill="1" applyBorder="1" applyAlignment="1">
      <alignment horizontal="center" vertical="center" shrinkToFit="1"/>
    </xf>
    <xf numFmtId="0" fontId="52" fillId="0" borderId="6" xfId="1" applyFont="1" applyBorder="1" applyAlignment="1" applyProtection="1">
      <alignment horizontal="center" vertical="center"/>
      <protection locked="0"/>
    </xf>
    <xf numFmtId="0" fontId="52" fillId="0" borderId="4" xfId="1" applyFont="1" applyBorder="1" applyAlignment="1" applyProtection="1">
      <alignment horizontal="center" vertical="center"/>
      <protection locked="0"/>
    </xf>
    <xf numFmtId="0" fontId="52" fillId="0" borderId="7" xfId="1" applyFont="1" applyBorder="1" applyAlignment="1" applyProtection="1">
      <alignment horizontal="center" vertical="center"/>
      <protection locked="0"/>
    </xf>
    <xf numFmtId="0" fontId="52" fillId="0" borderId="5" xfId="1" applyFont="1" applyBorder="1" applyAlignment="1" applyProtection="1">
      <alignment horizontal="center" vertical="center" shrinkToFit="1"/>
      <protection locked="0"/>
    </xf>
    <xf numFmtId="178" fontId="52" fillId="0" borderId="18" xfId="1" applyNumberFormat="1" applyFont="1" applyBorder="1" applyAlignment="1" applyProtection="1">
      <alignment horizontal="center" vertical="center" shrinkToFit="1"/>
      <protection locked="0"/>
    </xf>
    <xf numFmtId="0" fontId="52" fillId="0" borderId="18" xfId="1" applyFont="1" applyBorder="1" applyAlignment="1" applyProtection="1">
      <alignment horizontal="center" vertical="center" shrinkToFit="1"/>
      <protection locked="0"/>
    </xf>
    <xf numFmtId="0" fontId="52" fillId="8" borderId="6" xfId="1" applyFont="1" applyFill="1" applyBorder="1" applyAlignment="1">
      <alignment horizontal="center" vertical="center" shrinkToFit="1"/>
    </xf>
    <xf numFmtId="0" fontId="52" fillId="8" borderId="4" xfId="1" applyFont="1" applyFill="1" applyBorder="1" applyAlignment="1">
      <alignment horizontal="center" vertical="center" shrinkToFit="1"/>
    </xf>
    <xf numFmtId="0" fontId="52" fillId="8" borderId="7" xfId="1" applyFont="1" applyFill="1" applyBorder="1" applyAlignment="1">
      <alignment horizontal="center" vertical="center" shrinkToFit="1"/>
    </xf>
    <xf numFmtId="179" fontId="52" fillId="0" borderId="6" xfId="1" applyNumberFormat="1" applyFont="1" applyBorder="1" applyAlignment="1" applyProtection="1">
      <alignment horizontal="center" vertical="center" shrinkToFit="1"/>
      <protection locked="0"/>
    </xf>
    <xf numFmtId="179" fontId="52" fillId="0" borderId="7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>
      <alignment horizontal="center" vertical="center" shrinkToFit="1"/>
    </xf>
    <xf numFmtId="179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52" fillId="0" borderId="5" xfId="1" quotePrefix="1" applyFont="1" applyBorder="1" applyAlignment="1" applyProtection="1">
      <alignment horizontal="center" vertical="center" shrinkToFit="1"/>
      <protection locked="0"/>
    </xf>
    <xf numFmtId="0" fontId="116" fillId="0" borderId="9" xfId="1" applyFont="1" applyBorder="1" applyAlignment="1">
      <alignment horizontal="center" vertical="center" shrinkToFit="1"/>
    </xf>
    <xf numFmtId="0" fontId="116" fillId="0" borderId="11" xfId="1" applyFont="1" applyBorder="1" applyAlignment="1">
      <alignment horizontal="center" vertical="center" shrinkToFit="1"/>
    </xf>
    <xf numFmtId="0" fontId="116" fillId="0" borderId="8" xfId="1" applyFont="1" applyBorder="1" applyAlignment="1" applyProtection="1">
      <alignment horizontal="center" vertical="center" wrapText="1" shrinkToFit="1"/>
      <protection locked="0"/>
    </xf>
    <xf numFmtId="0" fontId="116" fillId="0" borderId="10" xfId="1" applyFont="1" applyBorder="1" applyAlignment="1" applyProtection="1">
      <alignment horizontal="center" vertical="center" wrapText="1" shrinkToFit="1"/>
      <protection locked="0"/>
    </xf>
    <xf numFmtId="178" fontId="52" fillId="0" borderId="5" xfId="1" quotePrefix="1" applyNumberFormat="1" applyFont="1" applyBorder="1" applyAlignment="1" applyProtection="1">
      <alignment horizontal="center" vertical="center" shrinkToFit="1"/>
      <protection locked="0"/>
    </xf>
    <xf numFmtId="0" fontId="116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5" xfId="1" applyFont="1" applyBorder="1" applyAlignment="1" applyProtection="1">
      <alignment horizontal="center" vertical="center" shrinkToFit="1"/>
      <protection locked="0"/>
    </xf>
    <xf numFmtId="0" fontId="128" fillId="0" borderId="5" xfId="1" applyFont="1" applyBorder="1" applyAlignment="1" applyProtection="1">
      <alignment horizontal="center" vertical="center" wrapText="1" shrinkToFit="1"/>
      <protection locked="0"/>
    </xf>
    <xf numFmtId="0" fontId="116" fillId="0" borderId="6" xfId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horizontal="center" vertical="center" shrinkToFit="1"/>
      <protection locked="0"/>
    </xf>
    <xf numFmtId="0" fontId="136" fillId="0" borderId="17" xfId="1" applyFont="1" applyBorder="1" applyAlignment="1" applyProtection="1">
      <alignment horizontal="center" vertical="center" wrapText="1" shrinkToFit="1"/>
      <protection locked="0"/>
    </xf>
    <xf numFmtId="0" fontId="136" fillId="0" borderId="18" xfId="1" applyFont="1" applyBorder="1" applyAlignment="1" applyProtection="1">
      <alignment horizontal="center" vertical="center" wrapText="1" shrinkToFit="1"/>
      <protection locked="0"/>
    </xf>
    <xf numFmtId="0" fontId="136" fillId="0" borderId="10" xfId="1" applyFont="1" applyBorder="1" applyAlignment="1" applyProtection="1">
      <alignment horizontal="center" vertical="center" wrapText="1" shrinkToFit="1"/>
      <protection locked="0"/>
    </xf>
    <xf numFmtId="0" fontId="136" fillId="0" borderId="11" xfId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horizontal="center" vertical="center" wrapText="1" shrinkToFit="1"/>
      <protection locked="0"/>
    </xf>
    <xf numFmtId="0" fontId="116" fillId="0" borderId="9" xfId="1" applyFont="1" applyBorder="1" applyAlignment="1" applyProtection="1">
      <alignment horizontal="center" vertical="center" wrapText="1" shrinkToFit="1"/>
      <protection locked="0"/>
    </xf>
    <xf numFmtId="0" fontId="116" fillId="0" borderId="2" xfId="1" applyFont="1" applyBorder="1" applyAlignment="1" applyProtection="1">
      <alignment horizontal="center" vertical="center" wrapText="1" shrinkToFit="1"/>
      <protection locked="0"/>
    </xf>
    <xf numFmtId="0" fontId="116" fillId="0" borderId="11" xfId="1" applyFont="1" applyBorder="1" applyAlignment="1" applyProtection="1">
      <alignment horizontal="center" vertical="center" wrapText="1" shrinkToFit="1"/>
      <protection locked="0"/>
    </xf>
    <xf numFmtId="0" fontId="141" fillId="0" borderId="6" xfId="1" applyFont="1" applyBorder="1" applyAlignment="1" applyProtection="1">
      <alignment horizontal="left" vertical="center" indent="1" shrinkToFit="1"/>
      <protection locked="0"/>
    </xf>
    <xf numFmtId="0" fontId="141" fillId="0" borderId="4" xfId="1" applyFont="1" applyBorder="1" applyAlignment="1" applyProtection="1">
      <alignment horizontal="left" vertical="center" indent="1" shrinkToFit="1"/>
      <protection locked="0"/>
    </xf>
    <xf numFmtId="0" fontId="116" fillId="0" borderId="4" xfId="1" applyFont="1" applyBorder="1" applyAlignment="1" applyProtection="1">
      <alignment horizontal="center" vertical="center" shrinkToFit="1"/>
      <protection locked="0"/>
    </xf>
    <xf numFmtId="191" fontId="52" fillId="0" borderId="5" xfId="1" applyNumberFormat="1" applyFont="1" applyBorder="1" applyAlignment="1" applyProtection="1">
      <alignment horizontal="center" vertical="center" shrinkToFit="1"/>
      <protection locked="0"/>
    </xf>
    <xf numFmtId="2" fontId="52" fillId="0" borderId="5" xfId="1" applyNumberFormat="1" applyFont="1" applyBorder="1" applyAlignment="1" applyProtection="1">
      <alignment horizontal="center" vertical="center" shrinkToFit="1"/>
      <protection locked="0"/>
    </xf>
    <xf numFmtId="1" fontId="52" fillId="0" borderId="5" xfId="1" applyNumberFormat="1" applyFont="1" applyBorder="1" applyAlignment="1" applyProtection="1">
      <alignment horizontal="center" vertical="center" shrinkToFit="1"/>
      <protection locked="0"/>
    </xf>
    <xf numFmtId="177" fontId="52" fillId="0" borderId="6" xfId="1" applyNumberFormat="1" applyFont="1" applyBorder="1" applyAlignment="1" applyProtection="1">
      <alignment horizontal="center" vertical="center" shrinkToFit="1"/>
      <protection locked="0"/>
    </xf>
    <xf numFmtId="177" fontId="52" fillId="0" borderId="7" xfId="1" applyNumberFormat="1" applyFont="1" applyBorder="1" applyAlignment="1" applyProtection="1">
      <alignment horizontal="center" vertical="center" shrinkToFit="1"/>
      <protection locked="0"/>
    </xf>
    <xf numFmtId="183" fontId="52" fillId="0" borderId="6" xfId="1" applyNumberFormat="1" applyFont="1" applyBorder="1" applyAlignment="1" applyProtection="1">
      <alignment horizontal="center" vertical="center" shrinkToFit="1"/>
      <protection locked="0"/>
    </xf>
    <xf numFmtId="183" fontId="52" fillId="0" borderId="7" xfId="1" applyNumberFormat="1" applyFont="1" applyBorder="1" applyAlignment="1" applyProtection="1">
      <alignment horizontal="center" vertical="center" shrinkToFit="1"/>
      <protection locked="0"/>
    </xf>
    <xf numFmtId="184" fontId="116" fillId="22" borderId="6" xfId="1" applyNumberFormat="1" applyFont="1" applyFill="1" applyBorder="1" applyAlignment="1" applyProtection="1">
      <alignment horizontal="center" vertical="center" shrinkToFit="1"/>
      <protection locked="0"/>
    </xf>
    <xf numFmtId="184" fontId="116" fillId="22" borderId="7" xfId="1" applyNumberFormat="1" applyFont="1" applyFill="1" applyBorder="1" applyAlignment="1" applyProtection="1">
      <alignment horizontal="center" vertical="center" shrinkToFit="1"/>
      <protection locked="0"/>
    </xf>
    <xf numFmtId="0" fontId="141" fillId="0" borderId="7" xfId="1" applyFont="1" applyBorder="1" applyAlignment="1" applyProtection="1">
      <alignment horizontal="left" vertical="center" indent="1" shrinkToFit="1"/>
      <protection locked="0"/>
    </xf>
    <xf numFmtId="2" fontId="116" fillId="0" borderId="4" xfId="1" applyNumberFormat="1" applyFont="1" applyBorder="1" applyAlignment="1" applyProtection="1">
      <alignment horizontal="center" vertical="center" shrinkToFit="1"/>
      <protection locked="0"/>
    </xf>
    <xf numFmtId="2" fontId="116" fillId="0" borderId="7" xfId="1" applyNumberFormat="1" applyFont="1" applyBorder="1" applyAlignment="1" applyProtection="1">
      <alignment horizontal="center" vertical="center" shrinkToFit="1"/>
      <protection locked="0"/>
    </xf>
    <xf numFmtId="191" fontId="116" fillId="0" borderId="4" xfId="1" applyNumberFormat="1" applyFont="1" applyBorder="1" applyAlignment="1" applyProtection="1">
      <alignment horizontal="center" vertical="center" shrinkToFit="1"/>
      <protection locked="0"/>
    </xf>
    <xf numFmtId="191" fontId="116" fillId="0" borderId="7" xfId="1" applyNumberFormat="1" applyFont="1" applyBorder="1" applyAlignment="1" applyProtection="1">
      <alignment horizontal="center" vertical="center" shrinkToFit="1"/>
      <protection locked="0"/>
    </xf>
    <xf numFmtId="189" fontId="116" fillId="0" borderId="5" xfId="1" applyNumberFormat="1" applyFont="1" applyBorder="1" applyAlignment="1" applyProtection="1">
      <alignment horizontal="center" vertical="center" shrinkToFit="1"/>
      <protection locked="0"/>
    </xf>
    <xf numFmtId="184" fontId="116" fillId="0" borderId="4" xfId="1" applyNumberFormat="1" applyFont="1" applyBorder="1" applyAlignment="1" applyProtection="1">
      <alignment horizontal="center" vertical="center" shrinkToFit="1"/>
      <protection locked="0"/>
    </xf>
    <xf numFmtId="184" fontId="116" fillId="0" borderId="7" xfId="1" applyNumberFormat="1" applyFont="1" applyBorder="1" applyAlignment="1" applyProtection="1">
      <alignment horizontal="center" vertical="center" shrinkToFit="1"/>
      <protection locked="0"/>
    </xf>
    <xf numFmtId="184" fontId="158" fillId="22" borderId="4" xfId="1" applyNumberFormat="1" applyFont="1" applyFill="1" applyBorder="1" applyAlignment="1" applyProtection="1">
      <alignment horizontal="center" vertical="center" shrinkToFit="1"/>
      <protection locked="0"/>
    </xf>
    <xf numFmtId="184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83" fontId="158" fillId="22" borderId="4" xfId="1" applyNumberFormat="1" applyFont="1" applyFill="1" applyBorder="1" applyAlignment="1" applyProtection="1">
      <alignment horizontal="center" vertical="center" shrinkToFit="1"/>
      <protection locked="0"/>
    </xf>
    <xf numFmtId="183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5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158" fillId="22" borderId="7" xfId="1" applyNumberFormat="1" applyFont="1" applyFill="1" applyBorder="1" applyAlignment="1" applyProtection="1">
      <alignment horizontal="center" vertical="center" shrinkToFit="1"/>
      <protection locked="0"/>
    </xf>
    <xf numFmtId="184" fontId="158" fillId="22" borderId="6" xfId="1" applyNumberFormat="1" applyFont="1" applyFill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center" vertical="center" wrapText="1" shrinkToFit="1"/>
      <protection locked="0"/>
    </xf>
    <xf numFmtId="0" fontId="116" fillId="0" borderId="7" xfId="1" applyFont="1" applyBorder="1" applyAlignment="1" applyProtection="1">
      <alignment horizontal="center" vertical="center" wrapText="1" shrinkToFit="1"/>
      <protection locked="0"/>
    </xf>
    <xf numFmtId="184" fontId="52" fillId="0" borderId="9" xfId="1" applyNumberFormat="1" applyFont="1" applyBorder="1" applyAlignment="1" applyProtection="1">
      <alignment horizontal="center" vertical="center" shrinkToFit="1"/>
      <protection locked="0"/>
    </xf>
    <xf numFmtId="184" fontId="52" fillId="0" borderId="11" xfId="1" applyNumberFormat="1" applyFont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 shrinkToFit="1"/>
      <protection locked="0"/>
    </xf>
    <xf numFmtId="184" fontId="52" fillId="0" borderId="7" xfId="1" applyNumberFormat="1" applyFont="1" applyBorder="1" applyAlignment="1" applyProtection="1">
      <alignment horizontal="center" vertical="center" shrinkToFit="1"/>
      <protection locked="0"/>
    </xf>
    <xf numFmtId="177" fontId="52" fillId="0" borderId="5" xfId="1" applyNumberFormat="1" applyFont="1" applyBorder="1" applyAlignment="1" applyProtection="1">
      <alignment horizontal="center" vertical="center" shrinkToFit="1"/>
      <protection locked="0"/>
    </xf>
    <xf numFmtId="184" fontId="52" fillId="0" borderId="6" xfId="1" applyNumberFormat="1" applyFont="1" applyBorder="1" applyAlignment="1" applyProtection="1">
      <alignment horizontal="center" vertical="center"/>
      <protection locked="0"/>
    </xf>
    <xf numFmtId="184" fontId="52" fillId="0" borderId="7" xfId="1" applyNumberFormat="1" applyFont="1" applyBorder="1" applyAlignment="1" applyProtection="1">
      <alignment horizontal="center" vertical="center"/>
      <protection locked="0"/>
    </xf>
    <xf numFmtId="183" fontId="52" fillId="0" borderId="9" xfId="1" applyNumberFormat="1" applyFont="1" applyBorder="1" applyAlignment="1" applyProtection="1">
      <alignment horizontal="center" vertical="center" shrinkToFit="1"/>
      <protection locked="0"/>
    </xf>
    <xf numFmtId="183" fontId="52" fillId="0" borderId="11" xfId="1" applyNumberFormat="1" applyFont="1" applyBorder="1" applyAlignment="1" applyProtection="1">
      <alignment horizontal="center" vertical="center" shrinkToFit="1"/>
      <protection locked="0"/>
    </xf>
    <xf numFmtId="177" fontId="52" fillId="0" borderId="18" xfId="1" applyNumberFormat="1" applyFont="1" applyBorder="1" applyAlignment="1" applyProtection="1">
      <alignment horizontal="center" vertical="center" shrinkToFit="1"/>
      <protection locked="0"/>
    </xf>
    <xf numFmtId="177" fontId="52" fillId="0" borderId="9" xfId="1" applyNumberFormat="1" applyFont="1" applyBorder="1" applyAlignment="1" applyProtection="1">
      <alignment horizontal="center" vertical="center" shrinkToFit="1"/>
      <protection locked="0"/>
    </xf>
    <xf numFmtId="177" fontId="52" fillId="0" borderId="11" xfId="1" applyNumberFormat="1" applyFont="1" applyBorder="1" applyAlignment="1" applyProtection="1">
      <alignment horizontal="center" vertical="center" shrinkToFit="1"/>
      <protection locked="0"/>
    </xf>
    <xf numFmtId="0" fontId="116" fillId="0" borderId="10" xfId="1" applyFont="1" applyBorder="1" applyAlignment="1" applyProtection="1">
      <alignment horizontal="center" vertical="center" shrinkToFit="1"/>
      <protection locked="0"/>
    </xf>
    <xf numFmtId="0" fontId="116" fillId="0" borderId="9" xfId="1" applyFont="1" applyBorder="1" applyAlignment="1" applyProtection="1">
      <alignment horizontal="center" vertical="center" shrinkToFit="1"/>
      <protection locked="0"/>
    </xf>
    <xf numFmtId="0" fontId="116" fillId="0" borderId="11" xfId="1" applyFont="1" applyBorder="1" applyAlignment="1" applyProtection="1">
      <alignment horizontal="center" vertical="center" shrinkToFit="1"/>
      <protection locked="0"/>
    </xf>
    <xf numFmtId="0" fontId="116" fillId="0" borderId="8" xfId="1" applyFont="1" applyBorder="1" applyAlignment="1" applyProtection="1">
      <alignment horizontal="center" vertical="center" shrinkToFit="1"/>
      <protection locked="0"/>
    </xf>
    <xf numFmtId="0" fontId="128" fillId="0" borderId="6" xfId="1" applyFont="1" applyBorder="1" applyAlignment="1" applyProtection="1">
      <alignment horizontal="center" vertical="center" wrapText="1" shrinkToFit="1"/>
      <protection locked="0"/>
    </xf>
    <xf numFmtId="0" fontId="128" fillId="0" borderId="4" xfId="1" applyFont="1" applyBorder="1" applyAlignment="1" applyProtection="1">
      <alignment horizontal="center" vertical="center" shrinkToFit="1"/>
      <protection locked="0"/>
    </xf>
    <xf numFmtId="0" fontId="128" fillId="0" borderId="7" xfId="1" applyFont="1" applyBorder="1" applyAlignment="1" applyProtection="1">
      <alignment horizontal="center" vertical="center" shrinkToFit="1"/>
      <protection locked="0"/>
    </xf>
    <xf numFmtId="183" fontId="116" fillId="0" borderId="6" xfId="9" applyNumberFormat="1" applyFont="1" applyBorder="1" applyAlignment="1" applyProtection="1">
      <alignment horizontal="center" vertical="center" shrinkToFit="1"/>
      <protection locked="0"/>
    </xf>
    <xf numFmtId="183" fontId="116" fillId="0" borderId="4" xfId="9" applyNumberFormat="1" applyFont="1" applyBorder="1" applyAlignment="1" applyProtection="1">
      <alignment horizontal="center" vertical="center" shrinkToFit="1"/>
      <protection locked="0"/>
    </xf>
    <xf numFmtId="183" fontId="116" fillId="0" borderId="7" xfId="9" applyNumberFormat="1" applyFont="1" applyBorder="1" applyAlignment="1" applyProtection="1">
      <alignment horizontal="center" vertical="center" shrinkToFit="1"/>
      <protection locked="0"/>
    </xf>
    <xf numFmtId="179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vertical="center" shrinkToFit="1"/>
      <protection locked="0"/>
    </xf>
    <xf numFmtId="0" fontId="116" fillId="0" borderId="4" xfId="1" applyFont="1" applyBorder="1" applyAlignment="1" applyProtection="1">
      <alignment vertical="center" shrinkToFit="1"/>
      <protection locked="0"/>
    </xf>
    <xf numFmtId="0" fontId="116" fillId="0" borderId="9" xfId="1" applyFont="1" applyBorder="1" applyAlignment="1" applyProtection="1">
      <alignment vertical="center" wrapText="1" shrinkToFit="1"/>
      <protection locked="0"/>
    </xf>
    <xf numFmtId="0" fontId="116" fillId="0" borderId="11" xfId="1" applyFont="1" applyBorder="1" applyAlignment="1" applyProtection="1">
      <alignment vertical="center" wrapText="1" shrinkToFit="1"/>
      <protection locked="0"/>
    </xf>
    <xf numFmtId="0" fontId="116" fillId="0" borderId="10" xfId="1" applyFont="1" applyBorder="1" applyAlignment="1" applyProtection="1">
      <alignment vertical="center" wrapText="1" shrinkToFit="1"/>
      <protection locked="0"/>
    </xf>
    <xf numFmtId="0" fontId="141" fillId="0" borderId="8" xfId="1" applyFont="1" applyBorder="1" applyAlignment="1" applyProtection="1">
      <alignment horizontal="center" vertical="center" wrapText="1" shrinkToFit="1"/>
      <protection locked="0"/>
    </xf>
    <xf numFmtId="0" fontId="141" fillId="0" borderId="3" xfId="1" applyFont="1" applyBorder="1" applyAlignment="1" applyProtection="1">
      <alignment horizontal="center" vertical="center" wrapText="1" shrinkToFit="1"/>
      <protection locked="0"/>
    </xf>
    <xf numFmtId="0" fontId="116" fillId="0" borderId="3" xfId="1" applyFont="1" applyBorder="1" applyAlignment="1" applyProtection="1">
      <alignment horizontal="center" vertical="center" shrinkToFit="1"/>
      <protection locked="0"/>
    </xf>
    <xf numFmtId="0" fontId="116" fillId="0" borderId="2" xfId="1" applyFont="1" applyBorder="1" applyAlignment="1" applyProtection="1">
      <alignment horizontal="center" vertical="center" shrinkToFit="1"/>
      <protection locked="0"/>
    </xf>
    <xf numFmtId="183" fontId="128" fillId="0" borderId="8" xfId="1" applyNumberFormat="1" applyFont="1" applyBorder="1" applyAlignment="1" applyProtection="1">
      <alignment horizontal="center" vertical="center" shrinkToFit="1"/>
      <protection locked="0"/>
    </xf>
    <xf numFmtId="183" fontId="128" fillId="0" borderId="3" xfId="1" applyNumberFormat="1" applyFont="1" applyBorder="1" applyAlignment="1" applyProtection="1">
      <alignment horizontal="center" vertical="center" shrinkToFit="1"/>
      <protection locked="0"/>
    </xf>
    <xf numFmtId="183" fontId="116" fillId="0" borderId="3" xfId="1" applyNumberFormat="1" applyFont="1" applyBorder="1" applyAlignment="1" applyProtection="1">
      <alignment horizontal="center" vertical="center" shrinkToFit="1"/>
      <protection locked="0"/>
    </xf>
    <xf numFmtId="183" fontId="116" fillId="0" borderId="10" xfId="1" applyNumberFormat="1" applyFont="1" applyBorder="1" applyAlignment="1" applyProtection="1">
      <alignment horizontal="center" vertical="center" shrinkToFit="1"/>
      <protection locked="0"/>
    </xf>
    <xf numFmtId="179" fontId="116" fillId="0" borderId="8" xfId="1" applyNumberFormat="1" applyFont="1" applyBorder="1" applyAlignment="1" applyProtection="1">
      <alignment horizontal="center" vertical="center" shrinkToFit="1"/>
      <protection locked="0"/>
    </xf>
    <xf numFmtId="179" fontId="116" fillId="0" borderId="3" xfId="1" applyNumberFormat="1" applyFont="1" applyBorder="1" applyAlignment="1" applyProtection="1">
      <alignment horizontal="center" vertical="center" shrinkToFit="1"/>
      <protection locked="0"/>
    </xf>
    <xf numFmtId="179" fontId="116" fillId="0" borderId="10" xfId="1" applyNumberFormat="1" applyFont="1" applyBorder="1" applyAlignment="1" applyProtection="1">
      <alignment horizontal="center" vertical="center" shrinkToFit="1"/>
      <protection locked="0"/>
    </xf>
    <xf numFmtId="179" fontId="116" fillId="0" borderId="9" xfId="1" applyNumberFormat="1" applyFont="1" applyBorder="1" applyAlignment="1" applyProtection="1">
      <alignment horizontal="center" vertical="center" shrinkToFit="1"/>
      <protection locked="0"/>
    </xf>
    <xf numFmtId="179" fontId="116" fillId="0" borderId="2" xfId="1" applyNumberFormat="1" applyFont="1" applyBorder="1" applyAlignment="1" applyProtection="1">
      <alignment horizontal="center" vertical="center" shrinkToFit="1"/>
      <protection locked="0"/>
    </xf>
    <xf numFmtId="179" fontId="116" fillId="0" borderId="11" xfId="1" applyNumberFormat="1" applyFont="1" applyBorder="1" applyAlignment="1" applyProtection="1">
      <alignment horizontal="center" vertical="center" shrinkToFit="1"/>
      <protection locked="0"/>
    </xf>
    <xf numFmtId="0" fontId="116" fillId="0" borderId="8" xfId="1" applyFont="1" applyBorder="1" applyAlignment="1" applyProtection="1">
      <alignment vertical="center" shrinkToFit="1"/>
      <protection locked="0"/>
    </xf>
    <xf numFmtId="0" fontId="116" fillId="0" borderId="3" xfId="1" applyFont="1" applyBorder="1" applyAlignment="1" applyProtection="1">
      <alignment vertical="center" shrinkToFit="1"/>
      <protection locked="0"/>
    </xf>
    <xf numFmtId="0" fontId="116" fillId="0" borderId="9" xfId="1" applyFont="1" applyBorder="1" applyAlignment="1" applyProtection="1">
      <alignment vertical="center" shrinkToFit="1"/>
      <protection locked="0"/>
    </xf>
    <xf numFmtId="0" fontId="116" fillId="0" borderId="2" xfId="1" applyFont="1" applyBorder="1" applyAlignment="1" applyProtection="1">
      <alignment vertical="center" shrinkToFit="1"/>
      <protection locked="0"/>
    </xf>
    <xf numFmtId="189" fontId="116" fillId="0" borderId="3" xfId="1" applyNumberFormat="1" applyFont="1" applyBorder="1" applyAlignment="1" applyProtection="1">
      <alignment horizontal="center" vertical="center" shrinkToFit="1"/>
      <protection locked="0"/>
    </xf>
    <xf numFmtId="189" fontId="116" fillId="0" borderId="10" xfId="1" applyNumberFormat="1" applyFont="1" applyBorder="1" applyAlignment="1" applyProtection="1">
      <alignment horizontal="center" vertical="center" shrinkToFit="1"/>
      <protection locked="0"/>
    </xf>
    <xf numFmtId="189" fontId="116" fillId="0" borderId="2" xfId="1" applyNumberFormat="1" applyFont="1" applyBorder="1" applyAlignment="1" applyProtection="1">
      <alignment horizontal="center" vertical="center" shrinkToFit="1"/>
      <protection locked="0"/>
    </xf>
    <xf numFmtId="189" fontId="116" fillId="0" borderId="11" xfId="1" applyNumberFormat="1" applyFont="1" applyBorder="1" applyAlignment="1" applyProtection="1">
      <alignment horizontal="center" vertical="center" shrinkToFit="1"/>
      <protection locked="0"/>
    </xf>
    <xf numFmtId="183" fontId="128" fillId="0" borderId="9" xfId="1" applyNumberFormat="1" applyFont="1" applyBorder="1" applyAlignment="1" applyProtection="1">
      <alignment horizontal="center" vertical="center" shrinkToFit="1"/>
      <protection locked="0"/>
    </xf>
    <xf numFmtId="183" fontId="128" fillId="0" borderId="2" xfId="1" applyNumberFormat="1" applyFont="1" applyBorder="1" applyAlignment="1" applyProtection="1">
      <alignment horizontal="center" vertical="center" shrinkToFit="1"/>
      <protection locked="0"/>
    </xf>
    <xf numFmtId="183" fontId="116" fillId="0" borderId="2" xfId="1" applyNumberFormat="1" applyFont="1" applyBorder="1" applyAlignment="1" applyProtection="1">
      <alignment horizontal="center" vertical="center" shrinkToFit="1"/>
      <protection locked="0"/>
    </xf>
    <xf numFmtId="183" fontId="116" fillId="0" borderId="11" xfId="1" applyNumberFormat="1" applyFont="1" applyBorder="1" applyAlignment="1" applyProtection="1">
      <alignment horizontal="center" vertical="center" shrinkToFit="1"/>
      <protection locked="0"/>
    </xf>
    <xf numFmtId="183" fontId="116" fillId="0" borderId="6" xfId="1" applyNumberFormat="1" applyFont="1" applyBorder="1" applyAlignment="1" applyProtection="1">
      <alignment horizontal="center" vertical="center" shrinkToFit="1"/>
      <protection locked="0"/>
    </xf>
    <xf numFmtId="183" fontId="116" fillId="0" borderId="4" xfId="1" applyNumberFormat="1" applyFont="1" applyBorder="1" applyAlignment="1" applyProtection="1">
      <alignment horizontal="center" vertical="center" shrinkToFit="1"/>
      <protection locked="0"/>
    </xf>
    <xf numFmtId="183" fontId="116" fillId="0" borderId="7" xfId="1" applyNumberFormat="1" applyFont="1" applyBorder="1" applyAlignment="1" applyProtection="1">
      <alignment horizontal="center" vertical="center" shrinkToFit="1"/>
      <protection locked="0"/>
    </xf>
    <xf numFmtId="181" fontId="116" fillId="0" borderId="5" xfId="1" applyNumberFormat="1" applyFont="1" applyBorder="1" applyAlignment="1" applyProtection="1">
      <alignment horizontal="center" vertical="center"/>
      <protection locked="0"/>
    </xf>
    <xf numFmtId="191" fontId="116" fillId="0" borderId="4" xfId="1" applyNumberFormat="1" applyFont="1" applyBorder="1" applyAlignment="1" applyProtection="1">
      <alignment horizontal="center" vertical="center"/>
      <protection locked="0"/>
    </xf>
    <xf numFmtId="191" fontId="116" fillId="0" borderId="7" xfId="1" applyNumberFormat="1" applyFont="1" applyBorder="1" applyAlignment="1" applyProtection="1">
      <alignment horizontal="center" vertical="center"/>
      <protection locked="0"/>
    </xf>
    <xf numFmtId="181" fontId="116" fillId="0" borderId="6" xfId="1" applyNumberFormat="1" applyFont="1" applyBorder="1" applyAlignment="1" applyProtection="1">
      <alignment horizontal="left" vertical="center" shrinkToFit="1"/>
      <protection locked="0"/>
    </xf>
    <xf numFmtId="181" fontId="116" fillId="0" borderId="4" xfId="1" applyNumberFormat="1" applyFont="1" applyBorder="1" applyAlignment="1" applyProtection="1">
      <alignment horizontal="left" vertical="center" shrinkToFit="1"/>
      <protection locked="0"/>
    </xf>
    <xf numFmtId="183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28" fillId="0" borderId="6" xfId="1" applyFont="1" applyBorder="1" applyAlignment="1" applyProtection="1">
      <alignment horizontal="left" vertical="center" wrapText="1"/>
      <protection locked="0"/>
    </xf>
    <xf numFmtId="0" fontId="128" fillId="0" borderId="4" xfId="1" applyFont="1" applyBorder="1" applyAlignment="1" applyProtection="1">
      <alignment horizontal="left" vertical="center"/>
      <protection locked="0"/>
    </xf>
    <xf numFmtId="0" fontId="128" fillId="0" borderId="4" xfId="1" applyFont="1" applyBorder="1" applyAlignment="1" applyProtection="1">
      <alignment horizontal="center" vertical="center"/>
      <protection locked="0"/>
    </xf>
    <xf numFmtId="0" fontId="128" fillId="0" borderId="7" xfId="1" applyFont="1" applyBorder="1" applyAlignment="1" applyProtection="1">
      <alignment horizontal="center" vertical="center"/>
      <protection locked="0"/>
    </xf>
    <xf numFmtId="0" fontId="128" fillId="0" borderId="4" xfId="1" applyFont="1" applyBorder="1" applyAlignment="1" applyProtection="1">
      <alignment horizontal="left" vertical="center" wrapText="1" shrinkToFit="1"/>
      <protection locked="0"/>
    </xf>
    <xf numFmtId="0" fontId="128" fillId="0" borderId="4" xfId="1" applyFont="1" applyBorder="1" applyAlignment="1" applyProtection="1">
      <alignment horizontal="left" vertical="center" shrinkToFit="1"/>
      <protection locked="0"/>
    </xf>
    <xf numFmtId="176" fontId="116" fillId="0" borderId="4" xfId="1" applyNumberFormat="1" applyFont="1" applyBorder="1" applyAlignment="1" applyProtection="1">
      <alignment horizontal="center" vertical="center" shrinkToFit="1"/>
      <protection locked="0"/>
    </xf>
    <xf numFmtId="176" fontId="116" fillId="0" borderId="7" xfId="1" applyNumberFormat="1" applyFont="1" applyBorder="1" applyAlignment="1" applyProtection="1">
      <alignment horizontal="center" vertical="center" shrinkToFit="1"/>
      <protection locked="0"/>
    </xf>
    <xf numFmtId="0" fontId="116" fillId="0" borderId="6" xfId="1" applyFont="1" applyBorder="1" applyAlignment="1" applyProtection="1">
      <alignment horizontal="left" vertical="center" shrinkToFit="1"/>
      <protection locked="0"/>
    </xf>
    <xf numFmtId="0" fontId="116" fillId="0" borderId="4" xfId="1" applyFont="1" applyBorder="1" applyAlignment="1" applyProtection="1">
      <alignment horizontal="left" vertical="center" shrinkToFit="1"/>
      <protection locked="0"/>
    </xf>
    <xf numFmtId="206" fontId="116" fillId="0" borderId="5" xfId="1" applyNumberFormat="1" applyFont="1" applyBorder="1" applyAlignment="1" applyProtection="1">
      <alignment horizontal="center" vertical="center" shrinkToFit="1"/>
      <protection locked="0"/>
    </xf>
    <xf numFmtId="0" fontId="116" fillId="0" borderId="7" xfId="1" applyFont="1" applyBorder="1" applyAlignment="1" applyProtection="1">
      <alignment horizontal="left" vertical="center" shrinkToFit="1"/>
      <protection locked="0"/>
    </xf>
    <xf numFmtId="182" fontId="116" fillId="0" borderId="5" xfId="1" applyNumberFormat="1" applyFont="1" applyBorder="1" applyAlignment="1" applyProtection="1">
      <alignment horizontal="center" vertical="center" shrinkToFit="1"/>
      <protection locked="0"/>
    </xf>
    <xf numFmtId="189" fontId="116" fillId="0" borderId="4" xfId="1" applyNumberFormat="1" applyFont="1" applyBorder="1" applyAlignment="1" applyProtection="1">
      <alignment horizontal="center" vertical="center" shrinkToFit="1"/>
      <protection locked="0"/>
    </xf>
    <xf numFmtId="177" fontId="116" fillId="0" borderId="6" xfId="1" applyNumberFormat="1" applyFont="1" applyBorder="1" applyAlignment="1" applyProtection="1">
      <alignment horizontal="left" vertical="center" shrinkToFit="1"/>
      <protection locked="0"/>
    </xf>
    <xf numFmtId="177" fontId="116" fillId="0" borderId="4" xfId="1" applyNumberFormat="1" applyFont="1" applyBorder="1" applyAlignment="1" applyProtection="1">
      <alignment horizontal="left" vertical="center" shrinkToFit="1"/>
      <protection locked="0"/>
    </xf>
    <xf numFmtId="0" fontId="157" fillId="0" borderId="0" xfId="1" applyFont="1" applyAlignment="1" applyProtection="1">
      <alignment horizontal="center" vertical="center" shrinkToFit="1"/>
      <protection locked="0"/>
    </xf>
    <xf numFmtId="0" fontId="128" fillId="0" borderId="9" xfId="1" applyFont="1" applyBorder="1" applyAlignment="1" applyProtection="1">
      <alignment horizontal="center" vertical="center" wrapText="1"/>
      <protection locked="0"/>
    </xf>
    <xf numFmtId="0" fontId="128" fillId="0" borderId="2" xfId="1" applyFont="1" applyBorder="1" applyAlignment="1" applyProtection="1">
      <alignment horizontal="center" vertical="center" wrapText="1"/>
      <protection locked="0"/>
    </xf>
    <xf numFmtId="0" fontId="128" fillId="0" borderId="11" xfId="1" applyFont="1" applyBorder="1" applyAlignment="1" applyProtection="1">
      <alignment horizontal="center" vertical="center" wrapText="1"/>
      <protection locked="0"/>
    </xf>
    <xf numFmtId="0" fontId="116" fillId="0" borderId="8" xfId="1" applyFont="1" applyBorder="1" applyAlignment="1" applyProtection="1">
      <alignment horizontal="left" vertical="center" shrinkToFit="1"/>
      <protection locked="0"/>
    </xf>
    <xf numFmtId="0" fontId="116" fillId="0" borderId="3" xfId="1" applyFont="1" applyBorder="1" applyAlignment="1" applyProtection="1">
      <alignment horizontal="left" vertical="center" shrinkToFit="1"/>
      <protection locked="0"/>
    </xf>
    <xf numFmtId="0" fontId="116" fillId="0" borderId="9" xfId="1" applyFont="1" applyBorder="1" applyAlignment="1" applyProtection="1">
      <alignment horizontal="left" vertical="center" shrinkToFit="1"/>
      <protection locked="0"/>
    </xf>
    <xf numFmtId="0" fontId="116" fillId="0" borderId="2" xfId="1" applyFont="1" applyBorder="1" applyAlignment="1" applyProtection="1">
      <alignment horizontal="left" vertical="center" shrinkToFit="1"/>
      <protection locked="0"/>
    </xf>
    <xf numFmtId="191" fontId="116" fillId="0" borderId="3" xfId="1" applyNumberFormat="1" applyFont="1" applyBorder="1" applyAlignment="1" applyProtection="1">
      <alignment horizontal="center" vertical="center" shrinkToFit="1"/>
      <protection locked="0"/>
    </xf>
    <xf numFmtId="191" fontId="116" fillId="0" borderId="10" xfId="1" applyNumberFormat="1" applyFont="1" applyBorder="1" applyAlignment="1" applyProtection="1">
      <alignment horizontal="center" vertical="center" shrinkToFit="1"/>
      <protection locked="0"/>
    </xf>
    <xf numFmtId="191" fontId="116" fillId="0" borderId="2" xfId="1" applyNumberFormat="1" applyFont="1" applyBorder="1" applyAlignment="1" applyProtection="1">
      <alignment horizontal="center" vertical="center" shrinkToFit="1"/>
      <protection locked="0"/>
    </xf>
    <xf numFmtId="191" fontId="116" fillId="0" borderId="11" xfId="1" applyNumberFormat="1" applyFont="1" applyBorder="1" applyAlignment="1" applyProtection="1">
      <alignment horizontal="center" vertical="center" shrinkToFit="1"/>
      <protection locked="0"/>
    </xf>
    <xf numFmtId="0" fontId="128" fillId="0" borderId="8" xfId="1" applyFont="1" applyBorder="1" applyAlignment="1" applyProtection="1">
      <alignment horizontal="right" vertical="center" wrapText="1"/>
      <protection locked="0"/>
    </xf>
    <xf numFmtId="0" fontId="128" fillId="0" borderId="3" xfId="1" applyFont="1" applyBorder="1" applyAlignment="1" applyProtection="1">
      <alignment horizontal="right" vertical="center" wrapText="1"/>
      <protection locked="0"/>
    </xf>
    <xf numFmtId="0" fontId="128" fillId="0" borderId="3" xfId="1" applyFont="1" applyBorder="1" applyAlignment="1" applyProtection="1">
      <alignment horizontal="center" vertical="center"/>
      <protection locked="0"/>
    </xf>
    <xf numFmtId="0" fontId="69" fillId="0" borderId="31" xfId="1" applyFont="1" applyBorder="1" applyAlignment="1" applyProtection="1">
      <alignment horizontal="center" vertical="center" shrinkToFit="1"/>
      <protection locked="0"/>
    </xf>
    <xf numFmtId="0" fontId="69" fillId="0" borderId="68" xfId="1" applyFont="1" applyBorder="1" applyAlignment="1" applyProtection="1">
      <alignment horizontal="center" vertical="center" shrinkToFit="1"/>
      <protection locked="0"/>
    </xf>
    <xf numFmtId="0" fontId="69" fillId="0" borderId="5" xfId="1" applyFont="1" applyBorder="1" applyAlignment="1" applyProtection="1">
      <alignment horizontal="center" vertical="center" shrinkToFit="1"/>
      <protection locked="0"/>
    </xf>
    <xf numFmtId="0" fontId="69" fillId="0" borderId="39" xfId="1" applyFont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>
      <alignment horizontal="center" vertical="center" shrinkToFit="1"/>
    </xf>
    <xf numFmtId="0" fontId="69" fillId="0" borderId="7" xfId="1" applyFont="1" applyBorder="1" applyAlignment="1" applyProtection="1">
      <alignment horizontal="center" vertical="center" shrinkToFit="1"/>
      <protection locked="0"/>
    </xf>
    <xf numFmtId="0" fontId="69" fillId="0" borderId="6" xfId="1" applyFont="1" applyBorder="1" applyAlignment="1" applyProtection="1">
      <alignment horizontal="center" vertical="center" shrinkToFit="1"/>
      <protection locked="0"/>
    </xf>
    <xf numFmtId="0" fontId="69" fillId="0" borderId="37" xfId="1" applyFont="1" applyBorder="1" applyAlignment="1" applyProtection="1">
      <alignment horizontal="center" vertical="center" shrinkToFit="1"/>
      <protection locked="0"/>
    </xf>
    <xf numFmtId="0" fontId="129" fillId="0" borderId="87" xfId="3" applyFont="1" applyBorder="1" applyAlignment="1" applyProtection="1">
      <alignment horizontal="center" vertical="center"/>
      <protection locked="0"/>
    </xf>
    <xf numFmtId="0" fontId="161" fillId="0" borderId="37" xfId="1" applyFont="1" applyBorder="1" applyAlignment="1" applyProtection="1">
      <alignment horizontal="center" vertical="center" shrinkToFit="1"/>
      <protection locked="0"/>
    </xf>
    <xf numFmtId="0" fontId="161" fillId="0" borderId="5" xfId="1" applyFont="1" applyBorder="1" applyAlignment="1" applyProtection="1">
      <alignment horizontal="center" vertical="center" shrinkToFit="1"/>
      <protection locked="0"/>
    </xf>
    <xf numFmtId="0" fontId="161" fillId="0" borderId="39" xfId="1" applyFont="1" applyBorder="1" applyAlignment="1" applyProtection="1">
      <alignment horizontal="center" vertical="center" shrinkToFit="1"/>
      <protection locked="0"/>
    </xf>
    <xf numFmtId="0" fontId="161" fillId="0" borderId="37" xfId="1" applyFont="1" applyBorder="1" applyAlignment="1">
      <alignment horizontal="center" vertical="center" shrinkToFit="1"/>
    </xf>
    <xf numFmtId="0" fontId="161" fillId="0" borderId="5" xfId="1" applyFont="1" applyBorder="1" applyAlignment="1">
      <alignment horizontal="center" vertical="center" shrinkToFit="1"/>
    </xf>
    <xf numFmtId="0" fontId="169" fillId="0" borderId="18" xfId="1" applyFont="1" applyBorder="1" applyAlignment="1" applyProtection="1">
      <alignment horizontal="center" vertical="center" shrinkToFit="1"/>
      <protection locked="0"/>
    </xf>
    <xf numFmtId="49" fontId="169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0" xfId="1" applyFont="1" applyAlignment="1" applyProtection="1">
      <alignment horizontal="center"/>
      <protection locked="0"/>
    </xf>
    <xf numFmtId="0" fontId="52" fillId="0" borderId="80" xfId="1" applyFont="1" applyBorder="1" applyAlignment="1">
      <alignment horizontal="center" vertical="center" shrinkToFit="1"/>
    </xf>
    <xf numFmtId="0" fontId="132" fillId="0" borderId="0" xfId="3" applyFont="1" applyAlignment="1" applyProtection="1">
      <alignment horizontal="center" vertical="center"/>
      <protection locked="0"/>
    </xf>
    <xf numFmtId="0" fontId="132" fillId="0" borderId="87" xfId="3" applyFont="1" applyBorder="1" applyAlignment="1" applyProtection="1">
      <alignment horizontal="center" vertical="center"/>
      <protection locked="0"/>
    </xf>
    <xf numFmtId="0" fontId="129" fillId="0" borderId="116" xfId="3" applyFont="1" applyBorder="1" applyAlignment="1" applyProtection="1">
      <alignment horizontal="center" vertical="center"/>
      <protection locked="0"/>
    </xf>
    <xf numFmtId="0" fontId="129" fillId="0" borderId="117" xfId="3" applyFont="1" applyBorder="1" applyAlignment="1" applyProtection="1">
      <alignment horizontal="center" vertical="center"/>
      <protection locked="0"/>
    </xf>
    <xf numFmtId="0" fontId="129" fillId="0" borderId="118" xfId="3" applyFont="1" applyBorder="1" applyAlignment="1" applyProtection="1">
      <alignment horizontal="center" vertical="center"/>
      <protection locked="0"/>
    </xf>
    <xf numFmtId="0" fontId="129" fillId="0" borderId="119" xfId="3" applyFont="1" applyBorder="1" applyAlignment="1" applyProtection="1">
      <alignment horizontal="center" vertical="center"/>
      <protection locked="0"/>
    </xf>
    <xf numFmtId="0" fontId="129" fillId="0" borderId="0" xfId="3" applyFont="1" applyAlignment="1" applyProtection="1">
      <alignment horizontal="center" vertical="center"/>
      <protection locked="0"/>
    </xf>
    <xf numFmtId="0" fontId="52" fillId="0" borderId="89" xfId="1" applyFont="1" applyBorder="1" applyAlignment="1">
      <alignment horizontal="center" vertical="center" shrinkToFit="1"/>
    </xf>
    <xf numFmtId="0" fontId="52" fillId="0" borderId="90" xfId="1" applyFont="1" applyBorder="1" applyAlignment="1">
      <alignment horizontal="center" vertical="center" shrinkToFit="1"/>
    </xf>
    <xf numFmtId="0" fontId="155" fillId="8" borderId="0" xfId="0" applyFont="1" applyFill="1" applyAlignment="1">
      <alignment horizontal="center" vertical="center"/>
    </xf>
    <xf numFmtId="0" fontId="155" fillId="8" borderId="137" xfId="0" applyFont="1" applyFill="1" applyBorder="1" applyAlignment="1">
      <alignment horizontal="center" vertical="center"/>
    </xf>
    <xf numFmtId="0" fontId="156" fillId="8" borderId="137" xfId="0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97" fontId="35" fillId="8" borderId="0" xfId="0" applyNumberFormat="1" applyFont="1" applyFill="1" applyAlignment="1">
      <alignment horizontal="left" vertical="center"/>
    </xf>
    <xf numFmtId="186" fontId="35" fillId="8" borderId="0" xfId="0" applyNumberFormat="1" applyFont="1" applyFill="1">
      <alignment vertical="center"/>
    </xf>
    <xf numFmtId="0" fontId="35" fillId="8" borderId="0" xfId="0" applyFont="1" applyFill="1">
      <alignment vertical="center"/>
    </xf>
    <xf numFmtId="49" fontId="35" fillId="8" borderId="122" xfId="0" applyNumberFormat="1" applyFont="1" applyFill="1" applyBorder="1" applyAlignment="1"/>
    <xf numFmtId="49" fontId="35" fillId="8" borderId="57" xfId="0" applyNumberFormat="1" applyFont="1" applyFill="1" applyBorder="1" applyAlignment="1"/>
    <xf numFmtId="49" fontId="35" fillId="8" borderId="123" xfId="0" applyNumberFormat="1" applyFont="1" applyFill="1" applyBorder="1" applyAlignment="1"/>
    <xf numFmtId="0" fontId="35" fillId="8" borderId="122" xfId="0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center" vertical="center"/>
    </xf>
    <xf numFmtId="0" fontId="35" fillId="8" borderId="123" xfId="0" applyFont="1" applyFill="1" applyBorder="1" applyAlignment="1">
      <alignment horizontal="center" vertical="center"/>
    </xf>
    <xf numFmtId="0" fontId="102" fillId="8" borderId="122" xfId="0" applyFont="1" applyFill="1" applyBorder="1">
      <alignment vertical="center"/>
    </xf>
    <xf numFmtId="0" fontId="102" fillId="8" borderId="57" xfId="0" applyFont="1" applyFill="1" applyBorder="1">
      <alignment vertical="center"/>
    </xf>
    <xf numFmtId="0" fontId="102" fillId="8" borderId="123" xfId="0" applyFont="1" applyFill="1" applyBorder="1">
      <alignment vertical="center"/>
    </xf>
    <xf numFmtId="0" fontId="12" fillId="8" borderId="122" xfId="0" applyFont="1" applyFill="1" applyBorder="1">
      <alignment vertical="center"/>
    </xf>
    <xf numFmtId="0" fontId="12" fillId="8" borderId="57" xfId="0" applyFont="1" applyFill="1" applyBorder="1">
      <alignment vertical="center"/>
    </xf>
    <xf numFmtId="0" fontId="12" fillId="8" borderId="123" xfId="0" applyFont="1" applyFill="1" applyBorder="1">
      <alignment vertical="center"/>
    </xf>
    <xf numFmtId="0" fontId="116" fillId="8" borderId="57" xfId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center" vertical="center"/>
    </xf>
    <xf numFmtId="0" fontId="116" fillId="8" borderId="57" xfId="1" applyFont="1" applyFill="1" applyBorder="1" applyAlignment="1">
      <alignment horizontal="left" vertical="center"/>
    </xf>
    <xf numFmtId="0" fontId="116" fillId="8" borderId="0" xfId="1" applyFont="1" applyFill="1" applyAlignment="1">
      <alignment horizontal="left" vertical="center"/>
    </xf>
    <xf numFmtId="0" fontId="116" fillId="8" borderId="65" xfId="1" applyFont="1" applyFill="1" applyBorder="1" applyAlignment="1">
      <alignment horizontal="center" vertical="center"/>
    </xf>
    <xf numFmtId="0" fontId="116" fillId="8" borderId="60" xfId="1" applyFont="1" applyFill="1" applyBorder="1" applyAlignment="1">
      <alignment horizontal="center" vertical="center" shrinkToFit="1"/>
    </xf>
    <xf numFmtId="0" fontId="116" fillId="8" borderId="53" xfId="1" applyFont="1" applyFill="1" applyBorder="1" applyAlignment="1">
      <alignment horizontal="center" vertical="center"/>
    </xf>
    <xf numFmtId="49" fontId="35" fillId="8" borderId="122" xfId="0" applyNumberFormat="1" applyFont="1" applyFill="1" applyBorder="1" applyAlignment="1">
      <alignment vertical="center" wrapText="1"/>
    </xf>
    <xf numFmtId="49" fontId="35" fillId="8" borderId="57" xfId="0" applyNumberFormat="1" applyFont="1" applyFill="1" applyBorder="1" applyAlignment="1">
      <alignment vertical="center" wrapText="1"/>
    </xf>
    <xf numFmtId="2" fontId="35" fillId="8" borderId="57" xfId="0" applyNumberFormat="1" applyFont="1" applyFill="1" applyBorder="1" applyAlignment="1">
      <alignment horizontal="right" vertical="center"/>
    </xf>
    <xf numFmtId="49" fontId="35" fillId="8" borderId="57" xfId="0" applyNumberFormat="1" applyFont="1" applyFill="1" applyBorder="1" applyAlignment="1">
      <alignment horizontal="left" vertical="center" wrapText="1"/>
    </xf>
    <xf numFmtId="0" fontId="116" fillId="8" borderId="57" xfId="1" applyFont="1" applyFill="1" applyBorder="1" applyAlignment="1">
      <alignment horizontal="center" vertical="center" shrinkToFit="1"/>
    </xf>
    <xf numFmtId="0" fontId="35" fillId="8" borderId="57" xfId="0" applyFont="1" applyFill="1" applyBorder="1" applyAlignment="1">
      <alignment horizontal="right" vertical="center"/>
    </xf>
    <xf numFmtId="0" fontId="35" fillId="8" borderId="53" xfId="0" applyFont="1" applyFill="1" applyBorder="1" applyAlignment="1">
      <alignment horizontal="right" vertical="center"/>
    </xf>
    <xf numFmtId="0" fontId="35" fillId="8" borderId="53" xfId="0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left" vertical="center"/>
    </xf>
    <xf numFmtId="0" fontId="35" fillId="8" borderId="53" xfId="0" applyFont="1" applyFill="1" applyBorder="1" applyAlignment="1">
      <alignment horizontal="left" vertical="center"/>
    </xf>
    <xf numFmtId="0" fontId="116" fillId="8" borderId="60" xfId="1" applyFont="1" applyFill="1" applyBorder="1" applyAlignment="1">
      <alignment horizontal="right" vertical="center"/>
    </xf>
    <xf numFmtId="191" fontId="116" fillId="8" borderId="60" xfId="1" applyNumberFormat="1" applyFont="1" applyFill="1" applyBorder="1" applyAlignment="1">
      <alignment horizontal="center" vertical="center"/>
    </xf>
    <xf numFmtId="0" fontId="116" fillId="8" borderId="60" xfId="1" applyFont="1" applyFill="1" applyBorder="1" applyAlignment="1">
      <alignment horizontal="center" vertical="center"/>
    </xf>
    <xf numFmtId="1" fontId="35" fillId="8" borderId="60" xfId="0" applyNumberFormat="1" applyFont="1" applyFill="1" applyBorder="1" applyAlignment="1">
      <alignment horizontal="center" vertical="center"/>
    </xf>
    <xf numFmtId="2" fontId="116" fillId="8" borderId="57" xfId="1" applyNumberFormat="1" applyFont="1" applyFill="1" applyBorder="1" applyAlignment="1">
      <alignment horizontal="center" vertical="center"/>
    </xf>
    <xf numFmtId="189" fontId="35" fillId="8" borderId="57" xfId="0" applyNumberFormat="1" applyFont="1" applyFill="1" applyBorder="1" applyAlignment="1">
      <alignment horizontal="center" vertical="center"/>
    </xf>
    <xf numFmtId="189" fontId="35" fillId="8" borderId="53" xfId="0" applyNumberFormat="1" applyFont="1" applyFill="1" applyBorder="1" applyAlignment="1">
      <alignment horizontal="center" vertical="center"/>
    </xf>
    <xf numFmtId="191" fontId="35" fillId="8" borderId="57" xfId="0" applyNumberFormat="1" applyFont="1" applyFill="1" applyBorder="1" applyAlignment="1">
      <alignment horizontal="center" vertical="center"/>
    </xf>
    <xf numFmtId="2" fontId="35" fillId="8" borderId="0" xfId="0" applyNumberFormat="1" applyFont="1" applyFill="1" applyAlignment="1">
      <alignment horizontal="center" vertical="center"/>
    </xf>
    <xf numFmtId="0" fontId="35" fillId="8" borderId="53" xfId="0" applyFont="1" applyFill="1" applyBorder="1" applyAlignment="1">
      <alignment horizontal="center" vertical="center" wrapText="1"/>
    </xf>
    <xf numFmtId="0" fontId="35" fillId="8" borderId="60" xfId="0" applyFont="1" applyFill="1" applyBorder="1" applyAlignment="1">
      <alignment horizontal="center" vertical="center"/>
    </xf>
    <xf numFmtId="49" fontId="35" fillId="8" borderId="122" xfId="0" applyNumberFormat="1" applyFont="1" applyFill="1" applyBorder="1" applyAlignment="1">
      <alignment horizontal="left" vertical="center" shrinkToFit="1"/>
    </xf>
    <xf numFmtId="49" fontId="35" fillId="8" borderId="57" xfId="0" applyNumberFormat="1" applyFont="1" applyFill="1" applyBorder="1" applyAlignment="1">
      <alignment horizontal="left" vertical="center" shrinkToFit="1"/>
    </xf>
    <xf numFmtId="0" fontId="35" fillId="8" borderId="57" xfId="0" applyFont="1" applyFill="1" applyBorder="1" applyAlignment="1">
      <alignment horizontal="right" vertical="center" shrinkToFit="1"/>
    </xf>
    <xf numFmtId="2" fontId="35" fillId="8" borderId="57" xfId="0" applyNumberFormat="1" applyFont="1" applyFill="1" applyBorder="1" applyAlignment="1">
      <alignment horizontal="left" vertical="center"/>
    </xf>
    <xf numFmtId="2" fontId="35" fillId="8" borderId="53" xfId="0" applyNumberFormat="1" applyFont="1" applyFill="1" applyBorder="1" applyAlignment="1">
      <alignment horizontal="center" vertical="center"/>
    </xf>
    <xf numFmtId="191" fontId="35" fillId="8" borderId="60" xfId="0" applyNumberFormat="1" applyFont="1" applyFill="1" applyBorder="1" applyAlignment="1">
      <alignment horizontal="center" vertical="center"/>
    </xf>
    <xf numFmtId="0" fontId="35" fillId="8" borderId="122" xfId="0" applyFont="1" applyFill="1" applyBorder="1" applyAlignment="1">
      <alignment horizontal="left" vertical="center"/>
    </xf>
    <xf numFmtId="49" fontId="35" fillId="8" borderId="0" xfId="0" applyNumberFormat="1" applyFont="1" applyFill="1" applyAlignment="1">
      <alignment horizontal="center" vertical="center" wrapText="1"/>
    </xf>
    <xf numFmtId="49" fontId="35" fillId="8" borderId="53" xfId="0" applyNumberFormat="1" applyFont="1" applyFill="1" applyBorder="1" applyAlignment="1">
      <alignment horizontal="center" vertical="center" wrapText="1"/>
    </xf>
    <xf numFmtId="49" fontId="35" fillId="8" borderId="0" xfId="0" applyNumberFormat="1" applyFont="1" applyFill="1" applyAlignment="1">
      <alignment vertical="center" wrapText="1"/>
    </xf>
    <xf numFmtId="49" fontId="35" fillId="8" borderId="53" xfId="0" applyNumberFormat="1" applyFont="1" applyFill="1" applyBorder="1" applyAlignment="1">
      <alignment vertical="center" wrapText="1"/>
    </xf>
    <xf numFmtId="189" fontId="35" fillId="8" borderId="0" xfId="0" quotePrefix="1" applyNumberFormat="1" applyFont="1" applyFill="1" applyAlignment="1">
      <alignment horizontal="center" vertical="center"/>
    </xf>
    <xf numFmtId="189" fontId="35" fillId="8" borderId="53" xfId="0" quotePrefix="1" applyNumberFormat="1" applyFont="1" applyFill="1" applyBorder="1" applyAlignment="1">
      <alignment horizontal="center" vertical="center"/>
    </xf>
    <xf numFmtId="0" fontId="35" fillId="8" borderId="133" xfId="0" applyFont="1" applyFill="1" applyBorder="1">
      <alignment vertical="center"/>
    </xf>
    <xf numFmtId="0" fontId="35" fillId="8" borderId="132" xfId="0" applyFont="1" applyFill="1" applyBorder="1">
      <alignment vertical="center"/>
    </xf>
    <xf numFmtId="0" fontId="35" fillId="8" borderId="122" xfId="0" applyFont="1" applyFill="1" applyBorder="1">
      <alignment vertical="center"/>
    </xf>
    <xf numFmtId="0" fontId="35" fillId="8" borderId="57" xfId="0" applyFont="1" applyFill="1" applyBorder="1">
      <alignment vertical="center"/>
    </xf>
    <xf numFmtId="191" fontId="35" fillId="8" borderId="53" xfId="0" applyNumberFormat="1" applyFont="1" applyFill="1" applyBorder="1" applyAlignment="1">
      <alignment horizontal="center" vertical="center"/>
    </xf>
    <xf numFmtId="193" fontId="35" fillId="8" borderId="53" xfId="0" applyNumberFormat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center" vertical="center" shrinkToFit="1"/>
    </xf>
    <xf numFmtId="0" fontId="116" fillId="8" borderId="53" xfId="1" applyFont="1" applyFill="1" applyBorder="1" applyAlignment="1">
      <alignment horizontal="center" vertical="center" shrinkToFit="1"/>
    </xf>
    <xf numFmtId="0" fontId="35" fillId="8" borderId="0" xfId="0" applyFont="1" applyFill="1" applyAlignment="1">
      <alignment horizontal="left" vertical="center"/>
    </xf>
    <xf numFmtId="0" fontId="116" fillId="8" borderId="0" xfId="1" applyFont="1" applyFill="1" applyAlignment="1">
      <alignment vertical="center"/>
    </xf>
    <xf numFmtId="0" fontId="116" fillId="8" borderId="0" xfId="1" applyFont="1" applyFill="1" applyAlignment="1">
      <alignment horizontal="right" vertical="center"/>
    </xf>
    <xf numFmtId="179" fontId="35" fillId="8" borderId="57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right" vertical="center"/>
    </xf>
    <xf numFmtId="0" fontId="128" fillId="8" borderId="0" xfId="1" applyFont="1" applyFill="1" applyAlignment="1">
      <alignment horizontal="right" vertical="center"/>
    </xf>
    <xf numFmtId="0" fontId="132" fillId="0" borderId="114" xfId="3" applyFont="1" applyBorder="1" applyAlignment="1">
      <alignment horizontal="center" vertical="center"/>
    </xf>
    <xf numFmtId="0" fontId="132" fillId="0" borderId="115" xfId="3" applyFont="1" applyBorder="1" applyAlignment="1">
      <alignment horizontal="center" vertical="center"/>
    </xf>
    <xf numFmtId="0" fontId="132" fillId="0" borderId="138" xfId="3" applyFont="1" applyBorder="1" applyAlignment="1">
      <alignment horizontal="center" vertical="center"/>
    </xf>
    <xf numFmtId="0" fontId="129" fillId="0" borderId="82" xfId="3" applyFont="1" applyBorder="1" applyAlignment="1">
      <alignment horizontal="center" vertical="center"/>
    </xf>
    <xf numFmtId="0" fontId="129" fillId="0" borderId="139" xfId="3" applyFont="1" applyBorder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0" fontId="35" fillId="8" borderId="136" xfId="0" applyFont="1" applyFill="1" applyBorder="1">
      <alignment vertical="center"/>
    </xf>
    <xf numFmtId="191" fontId="35" fillId="8" borderId="0" xfId="0" applyNumberFormat="1" applyFont="1" applyFill="1" applyAlignment="1">
      <alignment horizontal="center" vertical="center"/>
    </xf>
    <xf numFmtId="193" fontId="35" fillId="8" borderId="0" xfId="0" applyNumberFormat="1" applyFont="1" applyFill="1" applyAlignment="1">
      <alignment horizontal="center" vertical="center"/>
    </xf>
    <xf numFmtId="2" fontId="35" fillId="8" borderId="60" xfId="0" applyNumberFormat="1" applyFont="1" applyFill="1" applyBorder="1" applyAlignment="1">
      <alignment horizontal="center" vertical="center"/>
    </xf>
    <xf numFmtId="2" fontId="116" fillId="8" borderId="0" xfId="1" applyNumberFormat="1" applyFont="1" applyFill="1" applyAlignment="1">
      <alignment horizontal="center" vertical="center"/>
    </xf>
    <xf numFmtId="189" fontId="116" fillId="8" borderId="53" xfId="1" applyNumberFormat="1" applyFont="1" applyFill="1" applyBorder="1" applyAlignment="1">
      <alignment horizontal="center" vertical="center"/>
    </xf>
    <xf numFmtId="0" fontId="116" fillId="8" borderId="0" xfId="1" applyFont="1" applyFill="1" applyAlignment="1">
      <alignment horizontal="left" vertical="center" shrinkToFit="1"/>
    </xf>
    <xf numFmtId="0" fontId="156" fillId="8" borderId="140" xfId="0" applyFont="1" applyFill="1" applyBorder="1" applyAlignment="1">
      <alignment horizontal="center" vertical="center"/>
    </xf>
    <xf numFmtId="0" fontId="156" fillId="8" borderId="141" xfId="0" applyFont="1" applyFill="1" applyBorder="1" applyAlignment="1">
      <alignment horizontal="center" vertical="center"/>
    </xf>
    <xf numFmtId="0" fontId="156" fillId="8" borderId="142" xfId="0" applyFont="1" applyFill="1" applyBorder="1" applyAlignment="1">
      <alignment horizontal="center" vertical="center"/>
    </xf>
    <xf numFmtId="0" fontId="155" fillId="8" borderId="143" xfId="0" applyFont="1" applyFill="1" applyBorder="1" applyAlignment="1">
      <alignment horizontal="center" vertical="center"/>
    </xf>
    <xf numFmtId="0" fontId="155" fillId="8" borderId="144" xfId="0" applyFont="1" applyFill="1" applyBorder="1" applyAlignment="1">
      <alignment horizontal="center" vertical="center"/>
    </xf>
    <xf numFmtId="0" fontId="155" fillId="8" borderId="145" xfId="0" applyFont="1" applyFill="1" applyBorder="1" applyAlignment="1">
      <alignment horizontal="center" vertical="center"/>
    </xf>
    <xf numFmtId="0" fontId="155" fillId="8" borderId="146" xfId="0" applyFont="1" applyFill="1" applyBorder="1" applyAlignment="1">
      <alignment horizontal="center" vertical="center"/>
    </xf>
    <xf numFmtId="0" fontId="155" fillId="8" borderId="147" xfId="0" applyFont="1" applyFill="1" applyBorder="1" applyAlignment="1">
      <alignment horizontal="center" vertical="center"/>
    </xf>
    <xf numFmtId="0" fontId="155" fillId="8" borderId="148" xfId="0" applyFont="1" applyFill="1" applyBorder="1" applyAlignment="1">
      <alignment horizontal="center" vertical="center"/>
    </xf>
    <xf numFmtId="0" fontId="35" fillId="8" borderId="126" xfId="0" applyFont="1" applyFill="1" applyBorder="1" applyAlignment="1">
      <alignment horizontal="center" vertical="center"/>
    </xf>
    <xf numFmtId="0" fontId="35" fillId="8" borderId="127" xfId="0" applyFont="1" applyFill="1" applyBorder="1" applyAlignment="1">
      <alignment horizontal="center" vertical="center"/>
    </xf>
    <xf numFmtId="0" fontId="102" fillId="8" borderId="126" xfId="0" applyFont="1" applyFill="1" applyBorder="1">
      <alignment vertical="center"/>
    </xf>
    <xf numFmtId="0" fontId="102" fillId="8" borderId="60" xfId="0" applyFont="1" applyFill="1" applyBorder="1">
      <alignment vertical="center"/>
    </xf>
    <xf numFmtId="0" fontId="102" fillId="8" borderId="127" xfId="0" applyFont="1" applyFill="1" applyBorder="1">
      <alignment vertical="center"/>
    </xf>
    <xf numFmtId="0" fontId="12" fillId="8" borderId="126" xfId="0" applyFont="1" applyFill="1" applyBorder="1">
      <alignment vertical="center"/>
    </xf>
    <xf numFmtId="0" fontId="12" fillId="8" borderId="60" xfId="0" applyFont="1" applyFill="1" applyBorder="1">
      <alignment vertical="center"/>
    </xf>
    <xf numFmtId="0" fontId="12" fillId="8" borderId="127" xfId="0" applyFont="1" applyFill="1" applyBorder="1">
      <alignment vertical="center"/>
    </xf>
    <xf numFmtId="49" fontId="35" fillId="8" borderId="126" xfId="0" applyNumberFormat="1" applyFont="1" applyFill="1" applyBorder="1" applyAlignment="1"/>
    <xf numFmtId="49" fontId="35" fillId="8" borderId="60" xfId="0" applyNumberFormat="1" applyFont="1" applyFill="1" applyBorder="1" applyAlignment="1"/>
    <xf numFmtId="49" fontId="35" fillId="8" borderId="127" xfId="0" applyNumberFormat="1" applyFont="1" applyFill="1" applyBorder="1" applyAlignment="1"/>
    <xf numFmtId="191" fontId="116" fillId="8" borderId="0" xfId="1" applyNumberFormat="1" applyFont="1" applyFill="1" applyAlignment="1">
      <alignment horizontal="right" vertical="center" shrinkToFit="1"/>
    </xf>
    <xf numFmtId="182" fontId="116" fillId="8" borderId="0" xfId="1" applyNumberFormat="1" applyFont="1" applyFill="1" applyAlignment="1">
      <alignment horizontal="center" vertical="center"/>
    </xf>
    <xf numFmtId="0" fontId="102" fillId="8" borderId="0" xfId="0" applyFont="1" applyFill="1" applyAlignment="1">
      <alignment horizontal="center" vertical="center"/>
    </xf>
    <xf numFmtId="189" fontId="35" fillId="8" borderId="0" xfId="0" applyNumberFormat="1" applyFont="1" applyFill="1" applyAlignment="1">
      <alignment horizontal="center" vertical="center"/>
    </xf>
    <xf numFmtId="0" fontId="116" fillId="8" borderId="60" xfId="1" applyFont="1" applyFill="1" applyBorder="1" applyAlignment="1">
      <alignment horizontal="right" vertical="center" shrinkToFit="1"/>
    </xf>
    <xf numFmtId="191" fontId="116" fillId="8" borderId="60" xfId="1" applyNumberFormat="1" applyFont="1" applyFill="1" applyBorder="1" applyAlignment="1">
      <alignment horizontal="center" vertical="center" shrinkToFit="1"/>
    </xf>
    <xf numFmtId="1" fontId="116" fillId="8" borderId="60" xfId="1" applyNumberFormat="1" applyFont="1" applyFill="1" applyBorder="1" applyAlignment="1">
      <alignment horizontal="center" vertical="center"/>
    </xf>
    <xf numFmtId="0" fontId="121" fillId="8" borderId="57" xfId="0" applyFont="1" applyFill="1" applyBorder="1" applyAlignment="1">
      <alignment horizontal="center" vertical="center"/>
    </xf>
    <xf numFmtId="0" fontId="121" fillId="8" borderId="53" xfId="0" applyFont="1" applyFill="1" applyBorder="1" applyAlignment="1">
      <alignment horizontal="center" vertical="center"/>
    </xf>
    <xf numFmtId="0" fontId="121" fillId="8" borderId="60" xfId="0" applyFont="1" applyFill="1" applyBorder="1" applyAlignment="1">
      <alignment horizontal="center" vertical="center"/>
    </xf>
    <xf numFmtId="0" fontId="121" fillId="8" borderId="122" xfId="0" applyFont="1" applyFill="1" applyBorder="1" applyAlignment="1">
      <alignment horizontal="left" vertical="center"/>
    </xf>
    <xf numFmtId="0" fontId="121" fillId="8" borderId="57" xfId="0" applyFont="1" applyFill="1" applyBorder="1" applyAlignment="1">
      <alignment horizontal="left" vertical="center"/>
    </xf>
    <xf numFmtId="0" fontId="121" fillId="8" borderId="57" xfId="0" applyFont="1" applyFill="1" applyBorder="1" applyAlignment="1">
      <alignment horizontal="right" vertical="center"/>
    </xf>
    <xf numFmtId="0" fontId="121" fillId="8" borderId="0" xfId="0" applyFont="1" applyFill="1" applyAlignment="1">
      <alignment horizontal="center" vertical="center"/>
    </xf>
    <xf numFmtId="0" fontId="52" fillId="8" borderId="0" xfId="1" applyFont="1" applyFill="1" applyAlignment="1">
      <alignment horizontal="center" vertical="center"/>
    </xf>
    <xf numFmtId="176" fontId="52" fillId="8" borderId="0" xfId="1" applyNumberFormat="1" applyFont="1" applyFill="1" applyAlignment="1">
      <alignment horizontal="left" vertical="center"/>
    </xf>
    <xf numFmtId="191" fontId="35" fillId="8" borderId="57" xfId="0" applyNumberFormat="1" applyFont="1" applyFill="1" applyBorder="1" applyAlignment="1">
      <alignment horizontal="right" vertical="center"/>
    </xf>
    <xf numFmtId="191" fontId="35" fillId="8" borderId="57" xfId="0" applyNumberFormat="1" applyFont="1" applyFill="1" applyBorder="1">
      <alignment vertical="center"/>
    </xf>
    <xf numFmtId="49" fontId="35" fillId="8" borderId="0" xfId="0" applyNumberFormat="1" applyFont="1" applyFill="1" applyAlignment="1">
      <alignment horizontal="center" vertical="center" shrinkToFit="1"/>
    </xf>
    <xf numFmtId="183" fontId="35" fillId="8" borderId="0" xfId="0" applyNumberFormat="1" applyFont="1" applyFill="1" applyAlignment="1">
      <alignment horizontal="center" vertical="center" shrinkToFit="1"/>
    </xf>
    <xf numFmtId="0" fontId="35" fillId="8" borderId="0" xfId="0" applyFont="1" applyFill="1" applyAlignment="1">
      <alignment horizontal="center" vertical="center" shrinkToFit="1"/>
    </xf>
    <xf numFmtId="0" fontId="102" fillId="8" borderId="0" xfId="0" applyFont="1" applyFill="1">
      <alignment vertical="center"/>
    </xf>
    <xf numFmtId="0" fontId="102" fillId="8" borderId="53" xfId="0" applyFont="1" applyFill="1" applyBorder="1">
      <alignment vertical="center"/>
    </xf>
    <xf numFmtId="0" fontId="116" fillId="8" borderId="2" xfId="1" applyFont="1" applyFill="1" applyBorder="1" applyAlignment="1">
      <alignment horizontal="center" vertical="center"/>
    </xf>
    <xf numFmtId="0" fontId="116" fillId="8" borderId="54" xfId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8" fillId="8" borderId="5" xfId="0" applyFont="1" applyFill="1" applyBorder="1" applyAlignment="1">
      <alignment horizontal="center" vertical="center" wrapText="1"/>
    </xf>
    <xf numFmtId="0" fontId="138" fillId="8" borderId="0" xfId="0" applyFont="1" applyFill="1" applyAlignment="1">
      <alignment horizontal="center" vertical="center" wrapText="1"/>
    </xf>
    <xf numFmtId="0" fontId="100" fillId="8" borderId="0" xfId="0" applyFont="1" applyFill="1" applyAlignment="1">
      <alignment horizontal="distributed" vertical="distributed" justifyLastLine="1"/>
    </xf>
    <xf numFmtId="0" fontId="100" fillId="8" borderId="0" xfId="0" applyFont="1" applyFill="1" applyAlignment="1">
      <alignment horizontal="distributed" vertical="distributed" wrapText="1" justifyLastLine="1"/>
    </xf>
    <xf numFmtId="0" fontId="100" fillId="8" borderId="0" xfId="0" applyFont="1" applyFill="1" applyAlignment="1">
      <alignment horizontal="center" vertical="center" wrapText="1"/>
    </xf>
    <xf numFmtId="0" fontId="100" fillId="8" borderId="0" xfId="0" applyFont="1" applyFill="1" applyAlignment="1">
      <alignment horizontal="left" vertical="center" shrinkToFit="1"/>
    </xf>
    <xf numFmtId="14" fontId="100" fillId="8" borderId="0" xfId="0" applyNumberFormat="1" applyFont="1" applyFill="1" applyAlignment="1">
      <alignment horizontal="left" vertical="center"/>
    </xf>
    <xf numFmtId="203" fontId="100" fillId="8" borderId="0" xfId="0" applyNumberFormat="1" applyFont="1" applyFill="1" applyAlignment="1">
      <alignment horizontal="left" vertical="center" wrapText="1"/>
    </xf>
    <xf numFmtId="191" fontId="100" fillId="8" borderId="0" xfId="0" applyNumberFormat="1" applyFont="1" applyFill="1" applyAlignment="1">
      <alignment horizontal="right" vertical="center" wrapText="1"/>
    </xf>
    <xf numFmtId="204" fontId="100" fillId="8" borderId="0" xfId="0" applyNumberFormat="1" applyFont="1" applyFill="1" applyAlignment="1">
      <alignment horizontal="left" vertical="center"/>
    </xf>
    <xf numFmtId="0" fontId="100" fillId="8" borderId="0" xfId="0" applyFont="1" applyFill="1" applyAlignment="1">
      <alignment horizontal="left" vertical="center"/>
    </xf>
    <xf numFmtId="180" fontId="128" fillId="0" borderId="8" xfId="3" applyNumberFormat="1" applyFont="1" applyBorder="1" applyAlignment="1">
      <alignment horizontal="center" vertical="center"/>
    </xf>
    <xf numFmtId="180" fontId="128" fillId="0" borderId="3" xfId="3" applyNumberFormat="1" applyFont="1" applyBorder="1" applyAlignment="1">
      <alignment horizontal="center" vertical="center"/>
    </xf>
    <xf numFmtId="180" fontId="128" fillId="0" borderId="10" xfId="3" applyNumberFormat="1" applyFont="1" applyBorder="1" applyAlignment="1">
      <alignment horizontal="center" vertical="center"/>
    </xf>
    <xf numFmtId="20" fontId="128" fillId="0" borderId="8" xfId="3" applyNumberFormat="1" applyFont="1" applyBorder="1" applyAlignment="1">
      <alignment horizontal="center" vertical="center"/>
    </xf>
    <xf numFmtId="20" fontId="128" fillId="0" borderId="3" xfId="3" applyNumberFormat="1" applyFont="1" applyBorder="1" applyAlignment="1">
      <alignment horizontal="center" vertical="center"/>
    </xf>
    <xf numFmtId="20" fontId="128" fillId="0" borderId="10" xfId="3" applyNumberFormat="1" applyFont="1" applyBorder="1" applyAlignment="1">
      <alignment horizontal="center" vertical="center"/>
    </xf>
    <xf numFmtId="0" fontId="129" fillId="0" borderId="0" xfId="3" applyFont="1" applyAlignment="1">
      <alignment horizontal="left" vertical="center" shrinkToFit="1"/>
    </xf>
    <xf numFmtId="0" fontId="154" fillId="0" borderId="0" xfId="3" applyFont="1" applyAlignment="1">
      <alignment horizontal="distributed" vertical="center"/>
    </xf>
    <xf numFmtId="0" fontId="136" fillId="0" borderId="8" xfId="3" applyFont="1" applyBorder="1" applyAlignment="1">
      <alignment horizontal="center" vertical="center" wrapText="1" shrinkToFit="1"/>
    </xf>
    <xf numFmtId="0" fontId="136" fillId="0" borderId="50" xfId="3" applyFont="1" applyBorder="1" applyAlignment="1">
      <alignment horizontal="center" vertical="center" wrapText="1" shrinkToFit="1"/>
    </xf>
    <xf numFmtId="179" fontId="128" fillId="0" borderId="6" xfId="3" applyNumberFormat="1" applyFont="1" applyBorder="1" applyAlignment="1">
      <alignment horizontal="center" vertical="center"/>
    </xf>
    <xf numFmtId="179" fontId="128" fillId="0" borderId="4" xfId="3" applyNumberFormat="1" applyFont="1" applyBorder="1" applyAlignment="1">
      <alignment horizontal="center" vertical="center"/>
    </xf>
    <xf numFmtId="191" fontId="128" fillId="0" borderId="4" xfId="3" applyNumberFormat="1" applyFont="1" applyBorder="1" applyAlignment="1">
      <alignment horizontal="left" vertical="center"/>
    </xf>
    <xf numFmtId="191" fontId="128" fillId="0" borderId="34" xfId="3" applyNumberFormat="1" applyFont="1" applyBorder="1" applyAlignment="1">
      <alignment horizontal="left" vertical="center"/>
    </xf>
    <xf numFmtId="0" fontId="128" fillId="6" borderId="4" xfId="3" applyFont="1" applyFill="1" applyBorder="1" applyAlignment="1">
      <alignment horizontal="center" vertical="center" shrinkToFit="1"/>
    </xf>
    <xf numFmtId="0" fontId="128" fillId="6" borderId="34" xfId="3" applyFont="1" applyFill="1" applyBorder="1" applyAlignment="1">
      <alignment horizontal="center" vertical="center" shrinkToFit="1"/>
    </xf>
    <xf numFmtId="182" fontId="128" fillId="0" borderId="6" xfId="3" applyNumberFormat="1" applyFont="1" applyBorder="1" applyAlignment="1">
      <alignment horizontal="center" vertical="center" shrinkToFit="1"/>
    </xf>
    <xf numFmtId="182" fontId="128" fillId="0" borderId="4" xfId="3" applyNumberFormat="1" applyFont="1" applyBorder="1" applyAlignment="1">
      <alignment horizontal="center" vertical="center" shrinkToFit="1"/>
    </xf>
    <xf numFmtId="180" fontId="128" fillId="0" borderId="6" xfId="3" applyNumberFormat="1" applyFont="1" applyBorder="1" applyAlignment="1">
      <alignment horizontal="center" vertical="center"/>
    </xf>
    <xf numFmtId="180" fontId="128" fillId="0" borderId="4" xfId="3" applyNumberFormat="1" applyFont="1" applyBorder="1" applyAlignment="1">
      <alignment horizontal="center" vertical="center"/>
    </xf>
    <xf numFmtId="0" fontId="133" fillId="0" borderId="8" xfId="3" applyFont="1" applyBorder="1" applyAlignment="1">
      <alignment horizontal="center" vertical="center" shrinkToFit="1"/>
    </xf>
    <xf numFmtId="0" fontId="128" fillId="6" borderId="8" xfId="3" applyFont="1" applyFill="1" applyBorder="1" applyAlignment="1">
      <alignment horizontal="center" vertical="center"/>
    </xf>
    <xf numFmtId="0" fontId="128" fillId="6" borderId="3" xfId="3" applyFont="1" applyFill="1" applyBorder="1" applyAlignment="1">
      <alignment horizontal="center" vertical="center"/>
    </xf>
    <xf numFmtId="0" fontId="128" fillId="0" borderId="8" xfId="3" applyFont="1" applyBorder="1" applyAlignment="1">
      <alignment horizontal="left" vertical="center" wrapText="1" indent="1" shrinkToFit="1"/>
    </xf>
    <xf numFmtId="0" fontId="128" fillId="0" borderId="3" xfId="3" applyFont="1" applyBorder="1" applyAlignment="1">
      <alignment horizontal="left" vertical="center" wrapText="1" indent="1" shrinkToFit="1"/>
    </xf>
    <xf numFmtId="0" fontId="128" fillId="0" borderId="50" xfId="3" applyFont="1" applyBorder="1" applyAlignment="1">
      <alignment horizontal="left" vertical="center" wrapText="1" indent="1" shrinkToFit="1"/>
    </xf>
    <xf numFmtId="0" fontId="128" fillId="0" borderId="9" xfId="3" applyFont="1" applyBorder="1" applyAlignment="1">
      <alignment horizontal="left" vertical="center" wrapText="1" indent="1" shrinkToFit="1"/>
    </xf>
    <xf numFmtId="0" fontId="128" fillId="0" borderId="2" xfId="3" applyFont="1" applyBorder="1" applyAlignment="1">
      <alignment horizontal="left" vertical="center" wrapText="1" indent="1" shrinkToFit="1"/>
    </xf>
    <xf numFmtId="0" fontId="128" fillId="0" borderId="51" xfId="3" applyFont="1" applyBorder="1" applyAlignment="1">
      <alignment horizontal="left" vertical="center" wrapText="1" indent="1" shrinkToFit="1"/>
    </xf>
    <xf numFmtId="179" fontId="128" fillId="0" borderId="34" xfId="3" applyNumberFormat="1" applyFont="1" applyBorder="1" applyAlignment="1">
      <alignment horizontal="center" vertical="center"/>
    </xf>
    <xf numFmtId="179" fontId="128" fillId="0" borderId="7" xfId="3" applyNumberFormat="1" applyFont="1" applyBorder="1" applyAlignment="1">
      <alignment horizontal="center" vertical="center"/>
    </xf>
    <xf numFmtId="182" fontId="128" fillId="0" borderId="4" xfId="3" applyNumberFormat="1" applyFont="1" applyBorder="1" applyAlignment="1">
      <alignment horizontal="center" vertical="center"/>
    </xf>
    <xf numFmtId="0" fontId="128" fillId="0" borderId="8" xfId="1" applyFont="1" applyBorder="1" applyAlignment="1">
      <alignment horizontal="left" vertical="center" indent="1"/>
    </xf>
    <xf numFmtId="0" fontId="128" fillId="0" borderId="3" xfId="1" applyFont="1" applyBorder="1" applyAlignment="1">
      <alignment horizontal="left" vertical="center" indent="1"/>
    </xf>
    <xf numFmtId="0" fontId="128" fillId="0" borderId="50" xfId="1" applyFont="1" applyBorder="1" applyAlignment="1">
      <alignment horizontal="left" vertical="center" indent="1"/>
    </xf>
    <xf numFmtId="0" fontId="128" fillId="0" borderId="9" xfId="1" applyFont="1" applyBorder="1" applyAlignment="1">
      <alignment horizontal="left" vertical="center" indent="1"/>
    </xf>
    <xf numFmtId="0" fontId="128" fillId="0" borderId="2" xfId="1" applyFont="1" applyBorder="1" applyAlignment="1">
      <alignment horizontal="left" vertical="center" indent="1"/>
    </xf>
    <xf numFmtId="0" fontId="128" fillId="0" borderId="51" xfId="1" applyFont="1" applyBorder="1" applyAlignment="1">
      <alignment horizontal="left" vertical="center" indent="1"/>
    </xf>
    <xf numFmtId="196" fontId="129" fillId="0" borderId="32" xfId="3" quotePrefix="1" applyNumberFormat="1" applyFont="1" applyBorder="1" applyAlignment="1">
      <alignment horizontal="center" vertical="center"/>
    </xf>
    <xf numFmtId="196" fontId="129" fillId="0" borderId="32" xfId="3" applyNumberFormat="1" applyFont="1" applyBorder="1" applyAlignment="1">
      <alignment horizontal="center" vertical="center"/>
    </xf>
    <xf numFmtId="0" fontId="128" fillId="6" borderId="6" xfId="3" applyFont="1" applyFill="1" applyBorder="1" applyAlignment="1">
      <alignment horizontal="center" vertical="center"/>
    </xf>
    <xf numFmtId="0" fontId="128" fillId="6" borderId="4" xfId="3" applyFont="1" applyFill="1" applyBorder="1" applyAlignment="1">
      <alignment horizontal="center" vertical="center"/>
    </xf>
    <xf numFmtId="0" fontId="128" fillId="6" borderId="7" xfId="3" applyFont="1" applyFill="1" applyBorder="1" applyAlignment="1">
      <alignment horizontal="center" vertical="center"/>
    </xf>
    <xf numFmtId="0" fontId="134" fillId="6" borderId="4" xfId="3" applyFont="1" applyFill="1" applyBorder="1" applyAlignment="1">
      <alignment horizontal="distributed" vertical="center" justifyLastLine="1"/>
    </xf>
    <xf numFmtId="0" fontId="149" fillId="0" borderId="8" xfId="3" applyFont="1" applyBorder="1" applyAlignment="1">
      <alignment horizontal="center" vertical="center" wrapText="1"/>
    </xf>
    <xf numFmtId="0" fontId="149" fillId="0" borderId="3" xfId="3" applyFont="1" applyBorder="1" applyAlignment="1">
      <alignment horizontal="center" vertical="center" wrapText="1"/>
    </xf>
    <xf numFmtId="0" fontId="149" fillId="0" borderId="9" xfId="3" applyFont="1" applyBorder="1" applyAlignment="1">
      <alignment horizontal="center" vertical="center" wrapText="1"/>
    </xf>
    <xf numFmtId="0" fontId="149" fillId="0" borderId="2" xfId="3" applyFont="1" applyBorder="1" applyAlignment="1">
      <alignment horizontal="center" vertical="center" wrapText="1"/>
    </xf>
    <xf numFmtId="0" fontId="100" fillId="0" borderId="128" xfId="0" applyFont="1" applyBorder="1" applyAlignment="1">
      <alignment horizontal="left" vertical="center" wrapText="1"/>
    </xf>
    <xf numFmtId="0" fontId="100" fillId="0" borderId="0" xfId="0" applyFont="1" applyAlignment="1">
      <alignment horizontal="left" vertical="center" wrapText="1"/>
    </xf>
    <xf numFmtId="183" fontId="128" fillId="0" borderId="4" xfId="3" applyNumberFormat="1" applyFont="1" applyBorder="1" applyAlignment="1">
      <alignment horizontal="center" vertical="center" shrinkToFit="1"/>
    </xf>
    <xf numFmtId="179" fontId="133" fillId="0" borderId="6" xfId="3" applyNumberFormat="1" applyFont="1" applyBorder="1" applyAlignment="1">
      <alignment horizontal="center" vertical="center"/>
    </xf>
    <xf numFmtId="179" fontId="133" fillId="0" borderId="4" xfId="3" applyNumberFormat="1" applyFont="1" applyBorder="1" applyAlignment="1">
      <alignment horizontal="center" vertical="center"/>
    </xf>
    <xf numFmtId="179" fontId="133" fillId="0" borderId="34" xfId="3" applyNumberFormat="1" applyFont="1" applyBorder="1" applyAlignment="1">
      <alignment horizontal="center" vertical="center"/>
    </xf>
    <xf numFmtId="0" fontId="130" fillId="0" borderId="30" xfId="3" applyFont="1" applyBorder="1" applyAlignment="1">
      <alignment horizontal="center" vertical="center"/>
    </xf>
    <xf numFmtId="0" fontId="131" fillId="0" borderId="31" xfId="3" applyFont="1" applyBorder="1" applyAlignment="1">
      <alignment horizontal="center" vertical="center"/>
    </xf>
    <xf numFmtId="0" fontId="131" fillId="0" borderId="68" xfId="3" applyFont="1" applyBorder="1" applyAlignment="1">
      <alignment horizontal="center" vertical="center"/>
    </xf>
    <xf numFmtId="0" fontId="133" fillId="0" borderId="6" xfId="3" applyFont="1" applyBorder="1" applyAlignment="1">
      <alignment horizontal="center" vertical="center"/>
    </xf>
    <xf numFmtId="0" fontId="133" fillId="0" borderId="4" xfId="3" applyFont="1" applyBorder="1" applyAlignment="1">
      <alignment horizontal="center" vertical="center"/>
    </xf>
    <xf numFmtId="0" fontId="133" fillId="0" borderId="7" xfId="3" applyFont="1" applyBorder="1" applyAlignment="1">
      <alignment horizontal="center" vertical="center"/>
    </xf>
    <xf numFmtId="0" fontId="129" fillId="0" borderId="18" xfId="3" applyFont="1" applyBorder="1" applyAlignment="1">
      <alignment horizontal="center" vertical="center"/>
    </xf>
    <xf numFmtId="17" fontId="129" fillId="0" borderId="18" xfId="3" applyNumberFormat="1" applyFont="1" applyBorder="1" applyAlignment="1">
      <alignment horizontal="center" vertical="center"/>
    </xf>
    <xf numFmtId="0" fontId="128" fillId="0" borderId="4" xfId="3" applyFont="1" applyBorder="1" applyAlignment="1">
      <alignment horizontal="left" vertical="center" shrinkToFit="1"/>
    </xf>
    <xf numFmtId="0" fontId="128" fillId="0" borderId="34" xfId="3" applyFont="1" applyBorder="1" applyAlignment="1">
      <alignment horizontal="left" vertical="center" shrinkToFit="1"/>
    </xf>
    <xf numFmtId="191" fontId="128" fillId="6" borderId="6" xfId="3" applyNumberFormat="1" applyFont="1" applyFill="1" applyBorder="1" applyAlignment="1">
      <alignment horizontal="center" vertical="center"/>
    </xf>
    <xf numFmtId="191" fontId="128" fillId="6" borderId="4" xfId="3" applyNumberFormat="1" applyFont="1" applyFill="1" applyBorder="1" applyAlignment="1">
      <alignment horizontal="center" vertical="center"/>
    </xf>
    <xf numFmtId="0" fontId="149" fillId="0" borderId="10" xfId="3" applyFont="1" applyBorder="1" applyAlignment="1">
      <alignment horizontal="center" vertical="center" wrapText="1"/>
    </xf>
    <xf numFmtId="0" fontId="149" fillId="0" borderId="11" xfId="3" applyFont="1" applyBorder="1" applyAlignment="1">
      <alignment horizontal="center" vertical="center" wrapText="1"/>
    </xf>
    <xf numFmtId="0" fontId="149" fillId="0" borderId="8" xfId="3" applyFont="1" applyBorder="1" applyAlignment="1">
      <alignment horizontal="center" vertical="center" wrapText="1" shrinkToFit="1"/>
    </xf>
    <xf numFmtId="0" fontId="149" fillId="0" borderId="50" xfId="3" applyFont="1" applyBorder="1" applyAlignment="1">
      <alignment horizontal="center" vertical="center" wrapText="1" shrinkToFit="1"/>
    </xf>
    <xf numFmtId="0" fontId="128" fillId="6" borderId="5" xfId="3" applyFont="1" applyFill="1" applyBorder="1" applyAlignment="1">
      <alignment horizontal="center" vertical="center" shrinkToFit="1"/>
    </xf>
    <xf numFmtId="201" fontId="128" fillId="6" borderId="6" xfId="3" applyNumberFormat="1" applyFont="1" applyFill="1" applyBorder="1" applyAlignment="1">
      <alignment horizontal="center" vertical="center"/>
    </xf>
    <xf numFmtId="201" fontId="128" fillId="6" borderId="4" xfId="3" applyNumberFormat="1" applyFont="1" applyFill="1" applyBorder="1" applyAlignment="1">
      <alignment horizontal="center" vertical="center"/>
    </xf>
    <xf numFmtId="201" fontId="128" fillId="6" borderId="7" xfId="3" applyNumberFormat="1" applyFont="1" applyFill="1" applyBorder="1" applyAlignment="1">
      <alignment horizontal="center" vertical="center"/>
    </xf>
    <xf numFmtId="179" fontId="78" fillId="0" borderId="6" xfId="3" applyNumberFormat="1" applyFont="1" applyBorder="1" applyAlignment="1">
      <alignment horizontal="right" vertical="center" shrinkToFit="1"/>
    </xf>
    <xf numFmtId="179" fontId="78" fillId="0" borderId="4" xfId="3" applyNumberFormat="1" applyFont="1" applyBorder="1" applyAlignment="1">
      <alignment horizontal="right" vertical="center" shrinkToFit="1"/>
    </xf>
    <xf numFmtId="0" fontId="78" fillId="0" borderId="5" xfId="3" applyFont="1" applyBorder="1" applyAlignment="1">
      <alignment horizontal="center" vertical="center"/>
    </xf>
    <xf numFmtId="196" fontId="129" fillId="0" borderId="18" xfId="3" applyNumberFormat="1" applyFont="1" applyBorder="1" applyAlignment="1">
      <alignment horizontal="center" vertical="center"/>
    </xf>
    <xf numFmtId="0" fontId="147" fillId="0" borderId="0" xfId="3" applyFont="1" applyAlignment="1">
      <alignment horizontal="distributed" vertical="center"/>
    </xf>
    <xf numFmtId="0" fontId="129" fillId="0" borderId="0" xfId="3" applyFont="1" applyAlignment="1">
      <alignment horizontal="center" vertical="center" shrinkToFit="1"/>
    </xf>
    <xf numFmtId="0" fontId="128" fillId="6" borderId="5" xfId="3" applyFont="1" applyFill="1" applyBorder="1" applyAlignment="1">
      <alignment horizontal="center" vertical="center"/>
    </xf>
    <xf numFmtId="183" fontId="56" fillId="0" borderId="8" xfId="1" applyNumberFormat="1" applyFont="1" applyBorder="1" applyAlignment="1" applyProtection="1">
      <alignment horizontal="center" vertical="center" shrinkToFit="1"/>
      <protection locked="0"/>
    </xf>
    <xf numFmtId="183" fontId="56" fillId="0" borderId="3" xfId="1" applyNumberFormat="1" applyFont="1" applyBorder="1" applyAlignment="1" applyProtection="1">
      <alignment horizontal="center" vertical="center" shrinkToFit="1"/>
      <protection locked="0"/>
    </xf>
    <xf numFmtId="183" fontId="52" fillId="0" borderId="3" xfId="1" applyNumberFormat="1" applyFont="1" applyBorder="1" applyAlignment="1" applyProtection="1">
      <alignment horizontal="center" vertical="center" shrinkToFit="1"/>
      <protection locked="0"/>
    </xf>
    <xf numFmtId="183" fontId="52" fillId="0" borderId="10" xfId="1" applyNumberFormat="1" applyFont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 wrapText="1" shrinkToFit="1"/>
      <protection locked="0"/>
    </xf>
    <xf numFmtId="0" fontId="52" fillId="0" borderId="4" xfId="1" applyFont="1" applyBorder="1" applyAlignment="1" applyProtection="1">
      <alignment horizontal="center" vertical="center" shrinkToFit="1"/>
      <protection locked="0"/>
    </xf>
    <xf numFmtId="183" fontId="52" fillId="6" borderId="4" xfId="1" applyNumberFormat="1" applyFont="1" applyFill="1" applyBorder="1" applyAlignment="1" applyProtection="1">
      <alignment horizontal="center" vertical="center" shrinkToFit="1"/>
      <protection locked="0"/>
    </xf>
    <xf numFmtId="183" fontId="52" fillId="6" borderId="7" xfId="1" applyNumberFormat="1" applyFont="1" applyFill="1" applyBorder="1" applyAlignment="1" applyProtection="1">
      <alignment horizontal="center" vertical="center" shrinkToFit="1"/>
      <protection locked="0"/>
    </xf>
    <xf numFmtId="183" fontId="52" fillId="6" borderId="6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/>
      <protection locked="0"/>
    </xf>
    <xf numFmtId="179" fontId="52" fillId="0" borderId="5" xfId="1" applyNumberFormat="1" applyFont="1" applyBorder="1" applyAlignment="1">
      <alignment horizontal="center" vertical="center" shrinkToFit="1"/>
    </xf>
    <xf numFmtId="180" fontId="52" fillId="0" borderId="6" xfId="1" applyNumberFormat="1" applyFont="1" applyBorder="1" applyAlignment="1" applyProtection="1">
      <alignment horizontal="center" vertical="center" shrinkToFit="1"/>
      <protection locked="0"/>
    </xf>
    <xf numFmtId="180" fontId="52" fillId="0" borderId="7" xfId="1" applyNumberFormat="1" applyFont="1" applyBorder="1" applyAlignment="1" applyProtection="1">
      <alignment horizontal="center" vertical="center" shrinkToFit="1"/>
      <protection locked="0"/>
    </xf>
    <xf numFmtId="178" fontId="52" fillId="0" borderId="6" xfId="1" applyNumberFormat="1" applyFont="1" applyBorder="1" applyAlignment="1" applyProtection="1">
      <alignment horizontal="center" vertical="center" shrinkToFit="1"/>
      <protection locked="0"/>
    </xf>
    <xf numFmtId="178" fontId="52" fillId="0" borderId="7" xfId="1" applyNumberFormat="1" applyFont="1" applyBorder="1" applyAlignment="1" applyProtection="1">
      <alignment horizontal="center" vertical="center" shrinkToFit="1"/>
      <protection locked="0"/>
    </xf>
    <xf numFmtId="180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52" fillId="0" borderId="5" xfId="1" applyFont="1" applyBorder="1" applyAlignment="1" applyProtection="1">
      <alignment horizontal="center" vertical="center" wrapText="1" shrinkToFit="1"/>
      <protection locked="0"/>
    </xf>
    <xf numFmtId="0" fontId="52" fillId="0" borderId="39" xfId="1" applyFont="1" applyBorder="1" applyAlignment="1" applyProtection="1">
      <alignment horizontal="center" vertical="center" shrinkToFit="1"/>
      <protection locked="0"/>
    </xf>
    <xf numFmtId="1" fontId="52" fillId="0" borderId="39" xfId="1" applyNumberFormat="1" applyFont="1" applyBorder="1" applyAlignment="1" applyProtection="1">
      <alignment horizontal="center" vertical="center" shrinkToFit="1"/>
      <protection locked="0"/>
    </xf>
    <xf numFmtId="0" fontId="57" fillId="0" borderId="36" xfId="1" applyFont="1" applyBorder="1" applyAlignment="1" applyProtection="1">
      <alignment horizontal="left" vertical="center" indent="1" shrinkToFit="1"/>
      <protection locked="0"/>
    </xf>
    <xf numFmtId="0" fontId="57" fillId="0" borderId="4" xfId="1" applyFont="1" applyBorder="1" applyAlignment="1" applyProtection="1">
      <alignment horizontal="left" vertical="center" indent="1" shrinkToFit="1"/>
      <protection locked="0"/>
    </xf>
    <xf numFmtId="0" fontId="52" fillId="0" borderId="34" xfId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 applyProtection="1">
      <alignment horizontal="center" vertical="center" shrinkToFit="1"/>
      <protection locked="0"/>
    </xf>
    <xf numFmtId="0" fontId="56" fillId="0" borderId="5" xfId="1" applyFont="1" applyBorder="1" applyAlignment="1" applyProtection="1">
      <alignment horizontal="center" vertical="center" wrapText="1" shrinkToFit="1"/>
      <protection locked="0"/>
    </xf>
    <xf numFmtId="191" fontId="52" fillId="0" borderId="37" xfId="1" applyNumberFormat="1" applyFont="1" applyBorder="1" applyAlignment="1" applyProtection="1">
      <alignment horizontal="center" vertical="center" shrinkToFit="1"/>
      <protection locked="0"/>
    </xf>
    <xf numFmtId="0" fontId="52" fillId="0" borderId="37" xfId="1" applyFont="1" applyBorder="1" applyAlignment="1" applyProtection="1">
      <alignment horizontal="center" vertical="center" wrapText="1" shrinkToFit="1"/>
      <protection locked="0"/>
    </xf>
    <xf numFmtId="184" fontId="52" fillId="22" borderId="6" xfId="1" applyNumberFormat="1" applyFont="1" applyFill="1" applyBorder="1" applyAlignment="1" applyProtection="1">
      <alignment horizontal="center" vertical="center" shrinkToFit="1"/>
      <protection locked="0"/>
    </xf>
    <xf numFmtId="184" fontId="52" fillId="22" borderId="34" xfId="1" applyNumberFormat="1" applyFont="1" applyFill="1" applyBorder="1" applyAlignment="1" applyProtection="1">
      <alignment horizontal="center" vertical="center" shrinkToFit="1"/>
      <protection locked="0"/>
    </xf>
    <xf numFmtId="0" fontId="57" fillId="0" borderId="7" xfId="1" applyFont="1" applyBorder="1" applyAlignment="1" applyProtection="1">
      <alignment horizontal="left" vertical="center" indent="1" shrinkToFit="1"/>
      <protection locked="0"/>
    </xf>
    <xf numFmtId="2" fontId="52" fillId="0" borderId="4" xfId="1" applyNumberFormat="1" applyFont="1" applyBorder="1" applyAlignment="1" applyProtection="1">
      <alignment horizontal="center" vertical="center" shrinkToFit="1"/>
      <protection locked="0"/>
    </xf>
    <xf numFmtId="2" fontId="52" fillId="0" borderId="7" xfId="1" applyNumberFormat="1" applyFont="1" applyBorder="1" applyAlignment="1" applyProtection="1">
      <alignment horizontal="center" vertical="center" shrinkToFit="1"/>
      <protection locked="0"/>
    </xf>
    <xf numFmtId="191" fontId="52" fillId="0" borderId="6" xfId="1" applyNumberFormat="1" applyFont="1" applyBorder="1" applyAlignment="1" applyProtection="1">
      <alignment horizontal="center" vertical="center" shrinkToFit="1"/>
      <protection locked="0"/>
    </xf>
    <xf numFmtId="191" fontId="52" fillId="0" borderId="4" xfId="1" applyNumberFormat="1" applyFont="1" applyBorder="1" applyAlignment="1" applyProtection="1">
      <alignment horizontal="center" vertical="center" shrinkToFit="1"/>
      <protection locked="0"/>
    </xf>
    <xf numFmtId="191" fontId="52" fillId="0" borderId="7" xfId="1" applyNumberFormat="1" applyFont="1" applyBorder="1" applyAlignment="1" applyProtection="1">
      <alignment horizontal="center" vertical="center" shrinkToFit="1"/>
      <protection locked="0"/>
    </xf>
    <xf numFmtId="189" fontId="52" fillId="0" borderId="5" xfId="1" applyNumberFormat="1" applyFont="1" applyBorder="1" applyAlignment="1" applyProtection="1">
      <alignment horizontal="center" vertical="center" shrinkToFit="1"/>
      <protection locked="0"/>
    </xf>
    <xf numFmtId="189" fontId="52" fillId="0" borderId="39" xfId="1" applyNumberFormat="1" applyFont="1" applyBorder="1" applyAlignment="1" applyProtection="1">
      <alignment horizontal="center" vertical="center" shrinkToFit="1"/>
      <protection locked="0"/>
    </xf>
    <xf numFmtId="0" fontId="52" fillId="0" borderId="36" xfId="1" applyFont="1" applyBorder="1" applyAlignment="1" applyProtection="1">
      <alignment horizontal="center" vertical="center" shrinkToFit="1"/>
      <protection locked="0"/>
    </xf>
    <xf numFmtId="184" fontId="52" fillId="22" borderId="7" xfId="1" applyNumberFormat="1" applyFont="1" applyFill="1" applyBorder="1" applyAlignment="1" applyProtection="1">
      <alignment horizontal="center" vertical="center" shrinkToFit="1"/>
      <protection locked="0"/>
    </xf>
    <xf numFmtId="184" fontId="52" fillId="0" borderId="4" xfId="1" applyNumberFormat="1" applyFont="1" applyBorder="1" applyAlignment="1" applyProtection="1">
      <alignment horizontal="center" vertical="center" shrinkToFit="1"/>
      <protection locked="0"/>
    </xf>
    <xf numFmtId="184" fontId="94" fillId="22" borderId="4" xfId="1" applyNumberFormat="1" applyFont="1" applyFill="1" applyBorder="1" applyAlignment="1" applyProtection="1">
      <alignment horizontal="center" vertical="center" shrinkToFit="1"/>
      <protection locked="0"/>
    </xf>
    <xf numFmtId="184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183" fontId="94" fillId="22" borderId="4" xfId="1" applyNumberFormat="1" applyFont="1" applyFill="1" applyBorder="1" applyAlignment="1" applyProtection="1">
      <alignment horizontal="center" vertical="center" shrinkToFit="1"/>
      <protection locked="0"/>
    </xf>
    <xf numFmtId="183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5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6" xfId="1" applyNumberFormat="1" applyFont="1" applyFill="1" applyBorder="1" applyAlignment="1" applyProtection="1">
      <alignment horizontal="center" vertical="center" shrinkToFit="1"/>
      <protection locked="0"/>
    </xf>
    <xf numFmtId="177" fontId="94" fillId="22" borderId="7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7" xfId="1" applyFont="1" applyBorder="1" applyAlignment="1" applyProtection="1">
      <alignment horizontal="center" vertical="center" wrapText="1" shrinkToFit="1"/>
      <protection locked="0"/>
    </xf>
    <xf numFmtId="184" fontId="94" fillId="22" borderId="6" xfId="1" applyNumberFormat="1" applyFont="1" applyFill="1" applyBorder="1" applyAlignment="1" applyProtection="1">
      <alignment horizontal="center" vertical="center" shrinkToFit="1"/>
      <protection locked="0"/>
    </xf>
    <xf numFmtId="0" fontId="52" fillId="0" borderId="8" xfId="1" applyFont="1" applyBorder="1" applyAlignment="1" applyProtection="1">
      <alignment horizontal="center" vertical="center" wrapText="1" shrinkToFit="1"/>
      <protection locked="0"/>
    </xf>
    <xf numFmtId="0" fontId="52" fillId="0" borderId="10" xfId="1" applyFont="1" applyBorder="1" applyAlignment="1" applyProtection="1">
      <alignment vertical="center" wrapText="1" shrinkToFit="1"/>
      <protection locked="0"/>
    </xf>
    <xf numFmtId="0" fontId="52" fillId="0" borderId="9" xfId="1" applyFont="1" applyBorder="1" applyAlignment="1" applyProtection="1">
      <alignment vertical="center" wrapText="1" shrinkToFit="1"/>
      <protection locked="0"/>
    </xf>
    <xf numFmtId="0" fontId="52" fillId="0" borderId="11" xfId="1" applyFont="1" applyBorder="1" applyAlignment="1" applyProtection="1">
      <alignment vertical="center" wrapText="1" shrinkToFit="1"/>
      <protection locked="0"/>
    </xf>
    <xf numFmtId="0" fontId="52" fillId="0" borderId="35" xfId="1" applyFont="1" applyBorder="1" applyAlignment="1" applyProtection="1">
      <alignment horizontal="center" vertical="center"/>
      <protection locked="0"/>
    </xf>
    <xf numFmtId="0" fontId="52" fillId="0" borderId="11" xfId="1" applyFont="1" applyBorder="1" applyAlignment="1" applyProtection="1">
      <alignment horizontal="center" vertical="center"/>
      <protection locked="0"/>
    </xf>
    <xf numFmtId="0" fontId="52" fillId="0" borderId="9" xfId="1" applyFont="1" applyBorder="1" applyAlignment="1" applyProtection="1">
      <alignment horizontal="center" vertical="center" wrapText="1" shrinkToFit="1"/>
      <protection locked="0"/>
    </xf>
    <xf numFmtId="0" fontId="52" fillId="0" borderId="11" xfId="1" applyFont="1" applyBorder="1" applyAlignment="1" applyProtection="1">
      <alignment horizontal="center" vertical="center" shrinkToFit="1"/>
      <protection locked="0"/>
    </xf>
    <xf numFmtId="0" fontId="52" fillId="0" borderId="9" xfId="1" applyFont="1" applyBorder="1" applyAlignment="1" applyProtection="1">
      <alignment horizontal="center" vertical="center" shrinkToFit="1"/>
      <protection locked="0"/>
    </xf>
    <xf numFmtId="0" fontId="52" fillId="0" borderId="11" xfId="1" applyFont="1" applyBorder="1" applyAlignment="1" applyProtection="1">
      <alignment horizontal="center" vertical="center" wrapText="1" shrinkToFit="1"/>
      <protection locked="0"/>
    </xf>
    <xf numFmtId="0" fontId="52" fillId="0" borderId="33" xfId="1" applyFont="1" applyBorder="1" applyAlignment="1" applyProtection="1">
      <alignment horizontal="center" vertical="center" shrinkToFit="1"/>
      <protection locked="0"/>
    </xf>
    <xf numFmtId="0" fontId="52" fillId="0" borderId="10" xfId="1" applyFont="1" applyBorder="1" applyAlignment="1" applyProtection="1">
      <alignment horizontal="center" vertical="center" shrinkToFit="1"/>
      <protection locked="0"/>
    </xf>
    <xf numFmtId="0" fontId="52" fillId="0" borderId="8" xfId="1" applyFont="1" applyBorder="1" applyAlignment="1" applyProtection="1">
      <alignment horizontal="center" vertical="center" shrinkToFit="1"/>
      <protection locked="0"/>
    </xf>
    <xf numFmtId="0" fontId="52" fillId="0" borderId="3" xfId="1" applyFont="1" applyBorder="1" applyAlignment="1" applyProtection="1">
      <alignment horizontal="center" vertical="center" wrapText="1" shrinkToFit="1"/>
      <protection locked="0"/>
    </xf>
    <xf numFmtId="2" fontId="52" fillId="0" borderId="34" xfId="1" applyNumberFormat="1" applyFont="1" applyBorder="1" applyAlignment="1" applyProtection="1">
      <alignment horizontal="center" vertical="center" shrinkToFit="1"/>
      <protection locked="0"/>
    </xf>
    <xf numFmtId="183" fontId="52" fillId="0" borderId="4" xfId="1" applyNumberFormat="1" applyFont="1" applyBorder="1" applyAlignment="1" applyProtection="1">
      <alignment horizontal="center" vertical="center" shrinkToFit="1"/>
      <protection locked="0"/>
    </xf>
    <xf numFmtId="191" fontId="52" fillId="0" borderId="34" xfId="1" applyNumberFormat="1" applyFont="1" applyBorder="1" applyAlignment="1" applyProtection="1">
      <alignment horizontal="center" vertical="center" shrinkToFit="1"/>
      <protection locked="0"/>
    </xf>
    <xf numFmtId="0" fontId="57" fillId="0" borderId="33" xfId="1" applyFont="1" applyBorder="1" applyAlignment="1" applyProtection="1">
      <alignment horizontal="left" vertical="center" wrapText="1" indent="1" shrinkToFit="1"/>
      <protection locked="0"/>
    </xf>
    <xf numFmtId="0" fontId="57" fillId="0" borderId="3" xfId="1" applyFont="1" applyBorder="1" applyAlignment="1" applyProtection="1">
      <alignment horizontal="left" vertical="center" wrapText="1" indent="1" shrinkToFit="1"/>
      <protection locked="0"/>
    </xf>
    <xf numFmtId="0" fontId="57" fillId="0" borderId="50" xfId="1" applyFont="1" applyBorder="1" applyAlignment="1" applyProtection="1">
      <alignment horizontal="left" vertical="center" wrapText="1" indent="1" shrinkToFit="1"/>
      <protection locked="0"/>
    </xf>
    <xf numFmtId="0" fontId="52" fillId="0" borderId="3" xfId="1" applyFont="1" applyBorder="1" applyAlignment="1" applyProtection="1">
      <alignment horizontal="center" vertical="center" shrinkToFit="1"/>
      <protection locked="0"/>
    </xf>
    <xf numFmtId="0" fontId="52" fillId="0" borderId="35" xfId="1" applyFont="1" applyBorder="1" applyAlignment="1" applyProtection="1">
      <alignment horizontal="center" vertical="center" shrinkToFit="1"/>
      <protection locked="0"/>
    </xf>
    <xf numFmtId="0" fontId="52" fillId="0" borderId="2" xfId="1" applyFont="1" applyBorder="1" applyAlignment="1" applyProtection="1">
      <alignment horizontal="center" vertical="center" shrinkToFit="1"/>
      <protection locked="0"/>
    </xf>
    <xf numFmtId="179" fontId="52" fillId="0" borderId="8" xfId="1" applyNumberFormat="1" applyFont="1" applyBorder="1" applyAlignment="1" applyProtection="1">
      <alignment horizontal="center" vertical="center" shrinkToFit="1"/>
      <protection locked="0"/>
    </xf>
    <xf numFmtId="179" fontId="52" fillId="0" borderId="3" xfId="1" applyNumberFormat="1" applyFont="1" applyBorder="1" applyAlignment="1" applyProtection="1">
      <alignment horizontal="center" vertical="center" shrinkToFit="1"/>
      <protection locked="0"/>
    </xf>
    <xf numFmtId="179" fontId="52" fillId="0" borderId="10" xfId="1" applyNumberFormat="1" applyFont="1" applyBorder="1" applyAlignment="1" applyProtection="1">
      <alignment horizontal="center" vertical="center" shrinkToFit="1"/>
      <protection locked="0"/>
    </xf>
    <xf numFmtId="179" fontId="52" fillId="0" borderId="9" xfId="1" applyNumberFormat="1" applyFont="1" applyBorder="1" applyAlignment="1" applyProtection="1">
      <alignment horizontal="center" vertical="center" shrinkToFit="1"/>
      <protection locked="0"/>
    </xf>
    <xf numFmtId="179" fontId="52" fillId="0" borderId="2" xfId="1" applyNumberFormat="1" applyFont="1" applyBorder="1" applyAlignment="1" applyProtection="1">
      <alignment horizontal="center" vertical="center" shrinkToFit="1"/>
      <protection locked="0"/>
    </xf>
    <xf numFmtId="179" fontId="52" fillId="0" borderId="11" xfId="1" applyNumberFormat="1" applyFont="1" applyBorder="1" applyAlignment="1" applyProtection="1">
      <alignment horizontal="center" vertical="center" shrinkToFit="1"/>
      <protection locked="0"/>
    </xf>
    <xf numFmtId="189" fontId="52" fillId="0" borderId="3" xfId="1" applyNumberFormat="1" applyFont="1" applyBorder="1" applyAlignment="1" applyProtection="1">
      <alignment horizontal="center" vertical="center" shrinkToFit="1"/>
      <protection locked="0"/>
    </xf>
    <xf numFmtId="189" fontId="52" fillId="0" borderId="50" xfId="1" applyNumberFormat="1" applyFont="1" applyBorder="1" applyAlignment="1" applyProtection="1">
      <alignment horizontal="center" vertical="center" shrinkToFit="1"/>
      <protection locked="0"/>
    </xf>
    <xf numFmtId="189" fontId="52" fillId="0" borderId="2" xfId="1" applyNumberFormat="1" applyFont="1" applyBorder="1" applyAlignment="1" applyProtection="1">
      <alignment horizontal="center" vertical="center" shrinkToFit="1"/>
      <protection locked="0"/>
    </xf>
    <xf numFmtId="189" fontId="52" fillId="0" borderId="51" xfId="1" applyNumberFormat="1" applyFont="1" applyBorder="1" applyAlignment="1" applyProtection="1">
      <alignment horizontal="center" vertical="center" shrinkToFit="1"/>
      <protection locked="0"/>
    </xf>
    <xf numFmtId="0" fontId="52" fillId="0" borderId="6" xfId="1" applyFont="1" applyBorder="1" applyAlignment="1" applyProtection="1">
      <alignment horizontal="left" vertical="center" indent="1" shrinkToFit="1"/>
      <protection locked="0"/>
    </xf>
    <xf numFmtId="0" fontId="52" fillId="0" borderId="4" xfId="1" applyFont="1" applyBorder="1" applyAlignment="1" applyProtection="1">
      <alignment horizontal="left" vertical="center" indent="1" shrinkToFit="1"/>
      <protection locked="0"/>
    </xf>
    <xf numFmtId="176" fontId="52" fillId="0" borderId="4" xfId="1" applyNumberFormat="1" applyFont="1" applyBorder="1" applyAlignment="1" applyProtection="1">
      <alignment horizontal="center" vertical="center" shrinkToFit="1"/>
      <protection locked="0"/>
    </xf>
    <xf numFmtId="176" fontId="52" fillId="0" borderId="34" xfId="1" applyNumberFormat="1" applyFont="1" applyBorder="1" applyAlignment="1" applyProtection="1">
      <alignment horizontal="center" vertical="center" shrinkToFit="1"/>
      <protection locked="0"/>
    </xf>
    <xf numFmtId="181" fontId="52" fillId="0" borderId="6" xfId="1" applyNumberFormat="1" applyFont="1" applyBorder="1" applyAlignment="1" applyProtection="1">
      <alignment horizontal="center" vertical="center" shrinkToFit="1"/>
      <protection locked="0"/>
    </xf>
    <xf numFmtId="181" fontId="52" fillId="0" borderId="4" xfId="1" applyNumberFormat="1" applyFont="1" applyBorder="1" applyAlignment="1" applyProtection="1">
      <alignment horizontal="center" vertical="center" shrinkToFit="1"/>
      <protection locked="0"/>
    </xf>
    <xf numFmtId="183" fontId="52" fillId="0" borderId="5" xfId="1" applyNumberFormat="1" applyFont="1" applyBorder="1" applyAlignment="1" applyProtection="1">
      <alignment horizontal="center" vertical="center" shrinkToFit="1"/>
      <protection locked="0"/>
    </xf>
    <xf numFmtId="182" fontId="52" fillId="0" borderId="5" xfId="1" applyNumberFormat="1" applyFont="1" applyBorder="1" applyAlignment="1" applyProtection="1">
      <alignment horizontal="center" vertical="center" shrinkToFit="1"/>
      <protection locked="0"/>
    </xf>
    <xf numFmtId="189" fontId="52" fillId="0" borderId="4" xfId="1" applyNumberFormat="1" applyFont="1" applyBorder="1" applyAlignment="1" applyProtection="1">
      <alignment horizontal="center" vertical="center" shrinkToFit="1"/>
      <protection locked="0"/>
    </xf>
    <xf numFmtId="181" fontId="52" fillId="0" borderId="5" xfId="1" applyNumberFormat="1" applyFont="1" applyBorder="1" applyAlignment="1" applyProtection="1">
      <alignment horizontal="center" vertical="center"/>
      <protection locked="0"/>
    </xf>
    <xf numFmtId="0" fontId="52" fillId="0" borderId="6" xfId="1" applyFont="1" applyBorder="1" applyAlignment="1" applyProtection="1">
      <alignment horizontal="right" vertical="center" shrinkToFit="1"/>
      <protection locked="0"/>
    </xf>
    <xf numFmtId="0" fontId="52" fillId="0" borderId="4" xfId="1" applyFont="1" applyBorder="1" applyAlignment="1" applyProtection="1">
      <alignment horizontal="right" vertical="center" shrinkToFit="1"/>
      <protection locked="0"/>
    </xf>
    <xf numFmtId="177" fontId="52" fillId="0" borderId="4" xfId="1" applyNumberFormat="1" applyFont="1" applyBorder="1" applyAlignment="1" applyProtection="1">
      <alignment horizontal="center" vertical="center" shrinkToFit="1"/>
      <protection locked="0"/>
    </xf>
    <xf numFmtId="206" fontId="52" fillId="0" borderId="5" xfId="1" applyNumberFormat="1" applyFont="1" applyBorder="1" applyAlignment="1" applyProtection="1">
      <alignment horizontal="center" vertical="center" shrinkToFit="1"/>
      <protection locked="0"/>
    </xf>
    <xf numFmtId="0" fontId="60" fillId="0" borderId="0" xfId="1" applyFont="1" applyAlignment="1" applyProtection="1">
      <alignment horizontal="center" vertical="center" shrinkToFit="1"/>
      <protection locked="0"/>
    </xf>
    <xf numFmtId="0" fontId="52" fillId="0" borderId="30" xfId="1" applyFont="1" applyBorder="1" applyAlignment="1" applyProtection="1">
      <alignment horizontal="center" vertical="center" shrinkToFit="1"/>
      <protection locked="0"/>
    </xf>
    <xf numFmtId="0" fontId="52" fillId="0" borderId="31" xfId="1" applyFont="1" applyBorder="1" applyAlignment="1" applyProtection="1">
      <alignment horizontal="center" vertical="center" shrinkToFit="1"/>
      <protection locked="0"/>
    </xf>
    <xf numFmtId="0" fontId="52" fillId="0" borderId="70" xfId="1" applyFont="1" applyBorder="1" applyAlignment="1" applyProtection="1">
      <alignment horizontal="right" vertical="center" shrinkToFit="1"/>
      <protection locked="0"/>
    </xf>
    <xf numFmtId="0" fontId="52" fillId="0" borderId="15" xfId="1" applyFont="1" applyBorder="1" applyAlignment="1" applyProtection="1">
      <alignment horizontal="right" vertical="center" shrinkToFit="1"/>
      <protection locked="0"/>
    </xf>
    <xf numFmtId="191" fontId="52" fillId="0" borderId="15" xfId="1" applyNumberFormat="1" applyFont="1" applyBorder="1" applyAlignment="1" applyProtection="1">
      <alignment horizontal="center" vertical="center" shrinkToFit="1"/>
      <protection locked="0"/>
    </xf>
    <xf numFmtId="191" fontId="52" fillId="0" borderId="69" xfId="1" applyNumberFormat="1" applyFont="1" applyBorder="1" applyAlignment="1" applyProtection="1">
      <alignment horizontal="center" vertical="center" shrinkToFit="1"/>
      <protection locked="0"/>
    </xf>
    <xf numFmtId="0" fontId="52" fillId="0" borderId="70" xfId="1" applyFont="1" applyBorder="1" applyAlignment="1" applyProtection="1">
      <alignment horizontal="center" vertical="center" shrinkToFit="1"/>
      <protection locked="0"/>
    </xf>
    <xf numFmtId="0" fontId="52" fillId="0" borderId="15" xfId="1" applyFont="1" applyBorder="1" applyAlignment="1" applyProtection="1">
      <alignment horizontal="center" vertical="center" shrinkToFit="1"/>
      <protection locked="0"/>
    </xf>
    <xf numFmtId="0" fontId="60" fillId="0" borderId="92" xfId="1" applyFont="1" applyBorder="1" applyAlignment="1" applyProtection="1">
      <alignment horizontal="center" vertical="center" shrinkToFit="1"/>
      <protection locked="0"/>
    </xf>
    <xf numFmtId="0" fontId="60" fillId="0" borderId="93" xfId="1" applyFont="1" applyBorder="1" applyAlignment="1" applyProtection="1">
      <alignment horizontal="center" vertical="center" shrinkToFit="1"/>
      <protection locked="0"/>
    </xf>
    <xf numFmtId="180" fontId="52" fillId="0" borderId="80" xfId="1" applyNumberFormat="1" applyFont="1" applyBorder="1" applyAlignment="1" applyProtection="1">
      <alignment horizontal="center" vertical="center" shrinkToFit="1"/>
      <protection locked="0"/>
    </xf>
    <xf numFmtId="178" fontId="52" fillId="0" borderId="80" xfId="1" applyNumberFormat="1" applyFont="1" applyBorder="1" applyAlignment="1" applyProtection="1">
      <alignment horizontal="center" vertical="center" shrinkToFit="1"/>
      <protection locked="0"/>
    </xf>
    <xf numFmtId="0" fontId="52" fillId="0" borderId="80" xfId="1" applyFont="1" applyBorder="1" applyAlignment="1" applyProtection="1">
      <alignment horizontal="center" vertical="center" shrinkToFit="1"/>
      <protection locked="0"/>
    </xf>
    <xf numFmtId="180" fontId="52" fillId="0" borderId="18" xfId="1" applyNumberFormat="1" applyFont="1" applyBorder="1" applyAlignment="1" applyProtection="1">
      <alignment horizontal="center" vertical="center" shrinkToFit="1"/>
      <protection locked="0"/>
    </xf>
    <xf numFmtId="0" fontId="54" fillId="0" borderId="8" xfId="1" applyFont="1" applyBorder="1" applyAlignment="1" applyProtection="1">
      <alignment horizontal="center"/>
      <protection locked="0"/>
    </xf>
    <xf numFmtId="0" fontId="54" fillId="0" borderId="50" xfId="1" applyFont="1" applyBorder="1" applyAlignment="1" applyProtection="1">
      <alignment horizontal="center"/>
      <protection locked="0"/>
    </xf>
    <xf numFmtId="0" fontId="54" fillId="0" borderId="1" xfId="1" applyFont="1" applyBorder="1" applyAlignment="1" applyProtection="1">
      <alignment horizontal="center"/>
      <protection locked="0"/>
    </xf>
    <xf numFmtId="0" fontId="54" fillId="0" borderId="49" xfId="1" applyFont="1" applyBorder="1" applyAlignment="1" applyProtection="1">
      <alignment horizontal="center"/>
      <protection locked="0"/>
    </xf>
    <xf numFmtId="0" fontId="3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48" fillId="0" borderId="2" xfId="0" applyFont="1" applyBorder="1">
      <alignment vertical="center"/>
    </xf>
    <xf numFmtId="0" fontId="43" fillId="0" borderId="2" xfId="0" applyFont="1" applyBorder="1">
      <alignment vertical="center"/>
    </xf>
    <xf numFmtId="0" fontId="44" fillId="0" borderId="2" xfId="0" applyFont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43" fillId="0" borderId="3" xfId="0" applyFont="1" applyBorder="1">
      <alignment vertical="center"/>
    </xf>
    <xf numFmtId="0" fontId="9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right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181" fontId="21" fillId="0" borderId="0" xfId="0" applyNumberFormat="1" applyFont="1" applyAlignment="1">
      <alignment horizontal="center" vertical="center"/>
    </xf>
    <xf numFmtId="181" fontId="21" fillId="0" borderId="2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25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1" fillId="10" borderId="5" xfId="0" applyFont="1" applyFill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49" fontId="35" fillId="0" borderId="97" xfId="0" applyNumberFormat="1" applyFont="1" applyBorder="1" applyAlignment="1">
      <alignment horizontal="center" vertical="center"/>
    </xf>
    <xf numFmtId="49" fontId="35" fillId="0" borderId="95" xfId="0" applyNumberFormat="1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 shrinkToFit="1"/>
    </xf>
    <xf numFmtId="0" fontId="102" fillId="0" borderId="102" xfId="0" applyFont="1" applyBorder="1" applyAlignment="1">
      <alignment horizontal="center" vertical="center" shrinkToFit="1"/>
    </xf>
    <xf numFmtId="197" fontId="16" fillId="0" borderId="0" xfId="0" applyNumberFormat="1" applyFont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186" fontId="12" fillId="0" borderId="0" xfId="0" applyNumberFormat="1" applyFont="1" applyAlignment="1">
      <alignment horizontal="left" vertical="center"/>
    </xf>
    <xf numFmtId="0" fontId="103" fillId="0" borderId="0" xfId="0" applyFont="1" applyAlignment="1">
      <alignment horizontal="center" vertical="center"/>
    </xf>
    <xf numFmtId="0" fontId="103" fillId="0" borderId="5" xfId="0" applyFont="1" applyBorder="1" applyAlignment="1">
      <alignment horizontal="center" vertical="center"/>
    </xf>
    <xf numFmtId="49" fontId="35" fillId="0" borderId="96" xfId="0" applyNumberFormat="1" applyFont="1" applyBorder="1" applyAlignment="1">
      <alignment horizontal="center" vertical="center"/>
    </xf>
    <xf numFmtId="49" fontId="35" fillId="0" borderId="100" xfId="0" applyNumberFormat="1" applyFont="1" applyBorder="1" applyAlignment="1">
      <alignment horizontal="center" vertical="center"/>
    </xf>
    <xf numFmtId="49" fontId="35" fillId="0" borderId="101" xfId="0" applyNumberFormat="1" applyFont="1" applyBorder="1" applyAlignment="1">
      <alignment horizontal="center" vertical="center"/>
    </xf>
    <xf numFmtId="49" fontId="35" fillId="0" borderId="98" xfId="0" applyNumberFormat="1" applyFont="1" applyBorder="1" applyAlignment="1">
      <alignment horizontal="center"/>
    </xf>
    <xf numFmtId="49" fontId="35" fillId="0" borderId="99" xfId="0" applyNumberFormat="1" applyFont="1" applyBorder="1" applyAlignment="1">
      <alignment horizontal="center" vertical="center"/>
    </xf>
    <xf numFmtId="49" fontId="35" fillId="0" borderId="102" xfId="0" applyNumberFormat="1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 shrinkToFit="1"/>
    </xf>
    <xf numFmtId="0" fontId="35" fillId="0" borderId="95" xfId="0" applyFont="1" applyBorder="1" applyAlignment="1">
      <alignment horizontal="center" vertical="center" shrinkToFit="1"/>
    </xf>
    <xf numFmtId="0" fontId="35" fillId="0" borderId="95" xfId="0" applyFont="1" applyBorder="1" applyAlignment="1">
      <alignment horizontal="center" vertical="center"/>
    </xf>
    <xf numFmtId="0" fontId="102" fillId="0" borderId="95" xfId="0" applyFont="1" applyBorder="1" applyAlignment="1">
      <alignment horizontal="center" vertical="center"/>
    </xf>
    <xf numFmtId="191" fontId="102" fillId="0" borderId="95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 shrinkToFit="1"/>
    </xf>
    <xf numFmtId="0" fontId="35" fillId="0" borderId="103" xfId="0" applyFont="1" applyBorder="1" applyAlignment="1">
      <alignment horizontal="center" vertical="center" shrinkToFit="1"/>
    </xf>
    <xf numFmtId="0" fontId="35" fillId="0" borderId="104" xfId="0" applyFont="1" applyBorder="1" applyAlignment="1">
      <alignment horizontal="center" vertical="center" shrinkToFit="1"/>
    </xf>
    <xf numFmtId="0" fontId="35" fillId="0" borderId="0" xfId="0" applyFont="1" applyAlignment="1">
      <alignment horizontal="left" vertical="top" wrapText="1"/>
    </xf>
    <xf numFmtId="0" fontId="35" fillId="0" borderId="16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102" fillId="0" borderId="104" xfId="0" applyFont="1" applyBorder="1" applyAlignment="1">
      <alignment horizontal="center" vertical="center"/>
    </xf>
    <xf numFmtId="0" fontId="102" fillId="0" borderId="104" xfId="0" applyFont="1" applyBorder="1" applyAlignment="1">
      <alignment horizontal="center" vertical="center" shrinkToFit="1"/>
    </xf>
    <xf numFmtId="0" fontId="102" fillId="0" borderId="105" xfId="0" applyFont="1" applyBorder="1" applyAlignment="1">
      <alignment horizontal="center" vertical="center" shrinkToFit="1"/>
    </xf>
    <xf numFmtId="0" fontId="102" fillId="0" borderId="126" xfId="0" applyFont="1" applyBorder="1" applyAlignment="1">
      <alignment horizontal="center" vertical="center"/>
    </xf>
    <xf numFmtId="0" fontId="102" fillId="0" borderId="60" xfId="0" applyFont="1" applyBorder="1" applyAlignment="1">
      <alignment horizontal="center" vertical="center"/>
    </xf>
    <xf numFmtId="0" fontId="102" fillId="0" borderId="127" xfId="0" applyFont="1" applyBorder="1" applyAlignment="1">
      <alignment horizontal="center" vertical="center"/>
    </xf>
    <xf numFmtId="0" fontId="56" fillId="0" borderId="95" xfId="1" applyFont="1" applyBorder="1" applyAlignment="1">
      <alignment horizontal="center" vertical="center"/>
    </xf>
    <xf numFmtId="190" fontId="122" fillId="0" borderId="95" xfId="1" applyNumberFormat="1" applyFont="1" applyBorder="1" applyAlignment="1">
      <alignment horizontal="center" vertical="center"/>
    </xf>
    <xf numFmtId="0" fontId="102" fillId="0" borderId="12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/>
    </xf>
    <xf numFmtId="0" fontId="102" fillId="0" borderId="123" xfId="0" applyFont="1" applyBorder="1" applyAlignment="1">
      <alignment horizontal="center" vertical="center"/>
    </xf>
    <xf numFmtId="0" fontId="102" fillId="0" borderId="124" xfId="0" applyFont="1" applyBorder="1" applyAlignment="1">
      <alignment horizontal="center" vertical="center"/>
    </xf>
    <xf numFmtId="0" fontId="102" fillId="0" borderId="53" xfId="0" applyFont="1" applyBorder="1" applyAlignment="1">
      <alignment horizontal="center" vertical="center"/>
    </xf>
    <xf numFmtId="0" fontId="102" fillId="0" borderId="125" xfId="0" applyFont="1" applyBorder="1" applyAlignment="1">
      <alignment horizontal="center" vertical="center"/>
    </xf>
    <xf numFmtId="0" fontId="102" fillId="0" borderId="122" xfId="0" applyFont="1" applyBorder="1" applyAlignment="1">
      <alignment horizontal="center" vertical="center" wrapText="1"/>
    </xf>
    <xf numFmtId="0" fontId="115" fillId="0" borderId="95" xfId="1" applyFont="1" applyBorder="1" applyAlignment="1">
      <alignment horizontal="center" vertical="center"/>
    </xf>
    <xf numFmtId="0" fontId="121" fillId="0" borderId="95" xfId="1" applyFont="1" applyBorder="1" applyAlignment="1">
      <alignment horizontal="center" vertical="center"/>
    </xf>
    <xf numFmtId="0" fontId="122" fillId="0" borderId="95" xfId="1" applyFont="1" applyBorder="1" applyAlignment="1">
      <alignment horizontal="center" vertical="center"/>
    </xf>
    <xf numFmtId="0" fontId="35" fillId="0" borderId="126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127" xfId="0" applyFont="1" applyBorder="1" applyAlignment="1">
      <alignment horizontal="center" vertical="center"/>
    </xf>
    <xf numFmtId="0" fontId="56" fillId="0" borderId="126" xfId="1" applyFont="1" applyBorder="1" applyAlignment="1">
      <alignment horizontal="center" vertical="center"/>
    </xf>
    <xf numFmtId="0" fontId="56" fillId="0" borderId="60" xfId="1" applyFont="1" applyBorder="1" applyAlignment="1">
      <alignment horizontal="center" vertical="center"/>
    </xf>
    <xf numFmtId="0" fontId="56" fillId="0" borderId="127" xfId="1" applyFont="1" applyBorder="1" applyAlignment="1">
      <alignment horizontal="center" vertical="center"/>
    </xf>
    <xf numFmtId="191" fontId="102" fillId="0" borderId="126" xfId="0" applyNumberFormat="1" applyFont="1" applyBorder="1" applyAlignment="1">
      <alignment horizontal="center" vertical="center"/>
    </xf>
    <xf numFmtId="191" fontId="102" fillId="0" borderId="60" xfId="0" applyNumberFormat="1" applyFont="1" applyBorder="1" applyAlignment="1">
      <alignment horizontal="center" vertical="center"/>
    </xf>
    <xf numFmtId="191" fontId="102" fillId="0" borderId="127" xfId="0" applyNumberFormat="1" applyFont="1" applyBorder="1" applyAlignment="1">
      <alignment horizontal="center" vertical="center"/>
    </xf>
    <xf numFmtId="191" fontId="121" fillId="0" borderId="95" xfId="1" applyNumberFormat="1" applyFont="1" applyBorder="1" applyAlignment="1">
      <alignment horizontal="center" vertical="center"/>
    </xf>
    <xf numFmtId="2" fontId="121" fillId="0" borderId="95" xfId="1" applyNumberFormat="1" applyFont="1" applyBorder="1" applyAlignment="1">
      <alignment horizontal="center" vertical="center"/>
    </xf>
    <xf numFmtId="0" fontId="102" fillId="0" borderId="0" xfId="0" applyFont="1" applyAlignment="1">
      <alignment horizontal="left" vertical="center"/>
    </xf>
    <xf numFmtId="197" fontId="102" fillId="0" borderId="0" xfId="0" applyNumberFormat="1" applyFont="1" applyAlignment="1">
      <alignment horizontal="left" vertical="center"/>
    </xf>
    <xf numFmtId="0" fontId="121" fillId="0" borderId="0" xfId="1" applyFont="1" applyAlignment="1">
      <alignment horizontal="center" vertical="center" shrinkToFit="1"/>
    </xf>
    <xf numFmtId="0" fontId="5" fillId="0" borderId="57" xfId="0" applyFont="1" applyBorder="1" applyAlignment="1">
      <alignment horizontal="right" vertical="center"/>
    </xf>
    <xf numFmtId="0" fontId="102" fillId="0" borderId="57" xfId="0" applyFont="1" applyBorder="1" applyAlignment="1">
      <alignment horizontal="right" vertical="center"/>
    </xf>
    <xf numFmtId="49" fontId="102" fillId="0" borderId="126" xfId="0" applyNumberFormat="1" applyFont="1" applyBorder="1" applyAlignment="1">
      <alignment horizontal="center" vertical="center" wrapText="1"/>
    </xf>
    <xf numFmtId="49" fontId="102" fillId="0" borderId="60" xfId="0" applyNumberFormat="1" applyFont="1" applyBorder="1" applyAlignment="1">
      <alignment horizontal="center" vertical="center" wrapText="1"/>
    </xf>
    <xf numFmtId="49" fontId="102" fillId="0" borderId="127" xfId="0" applyNumberFormat="1" applyFont="1" applyBorder="1" applyAlignment="1">
      <alignment horizontal="center" vertical="center" wrapText="1"/>
    </xf>
    <xf numFmtId="0" fontId="121" fillId="0" borderId="126" xfId="1" applyFont="1" applyBorder="1" applyAlignment="1">
      <alignment horizontal="center" vertical="center"/>
    </xf>
    <xf numFmtId="0" fontId="121" fillId="0" borderId="60" xfId="1" applyFont="1" applyBorder="1" applyAlignment="1">
      <alignment horizontal="center" vertical="center"/>
    </xf>
    <xf numFmtId="0" fontId="121" fillId="0" borderId="127" xfId="1" applyFont="1" applyBorder="1" applyAlignment="1">
      <alignment horizontal="center" vertical="center"/>
    </xf>
    <xf numFmtId="191" fontId="121" fillId="0" borderId="126" xfId="1" applyNumberFormat="1" applyFont="1" applyBorder="1" applyAlignment="1">
      <alignment horizontal="center" vertical="center"/>
    </xf>
    <xf numFmtId="191" fontId="121" fillId="0" borderId="60" xfId="1" applyNumberFormat="1" applyFont="1" applyBorder="1" applyAlignment="1">
      <alignment horizontal="center" vertical="center"/>
    </xf>
    <xf numFmtId="191" fontId="121" fillId="0" borderId="127" xfId="1" applyNumberFormat="1" applyFont="1" applyBorder="1" applyAlignment="1">
      <alignment horizontal="center" vertical="center"/>
    </xf>
    <xf numFmtId="191" fontId="102" fillId="0" borderId="2" xfId="0" applyNumberFormat="1" applyFont="1" applyBorder="1" applyAlignment="1">
      <alignment horizontal="center" vertical="center"/>
    </xf>
    <xf numFmtId="0" fontId="122" fillId="0" borderId="0" xfId="1" applyFont="1" applyAlignment="1">
      <alignment horizontal="center" vertical="center"/>
    </xf>
    <xf numFmtId="0" fontId="122" fillId="0" borderId="0" xfId="1" applyFont="1" applyAlignment="1">
      <alignment vertical="center"/>
    </xf>
    <xf numFmtId="0" fontId="122" fillId="0" borderId="122" xfId="1" applyFont="1" applyBorder="1" applyAlignment="1">
      <alignment horizontal="center" vertical="center" wrapText="1"/>
    </xf>
    <xf numFmtId="0" fontId="122" fillId="0" borderId="57" xfId="1" applyFont="1" applyBorder="1" applyAlignment="1">
      <alignment horizontal="center" vertical="center"/>
    </xf>
    <xf numFmtId="0" fontId="122" fillId="0" borderId="123" xfId="1" applyFont="1" applyBorder="1" applyAlignment="1">
      <alignment horizontal="center" vertical="center"/>
    </xf>
    <xf numFmtId="0" fontId="122" fillId="0" borderId="124" xfId="1" applyFont="1" applyBorder="1" applyAlignment="1">
      <alignment horizontal="center" vertical="center"/>
    </xf>
    <xf numFmtId="0" fontId="122" fillId="0" borderId="53" xfId="1" applyFont="1" applyBorder="1" applyAlignment="1">
      <alignment horizontal="center" vertical="center"/>
    </xf>
    <xf numFmtId="0" fontId="122" fillId="0" borderId="125" xfId="1" applyFont="1" applyBorder="1" applyAlignment="1">
      <alignment horizontal="center" vertical="center"/>
    </xf>
    <xf numFmtId="0" fontId="103" fillId="0" borderId="12" xfId="0" applyFont="1" applyBorder="1" applyAlignment="1">
      <alignment horizontal="center" vertical="center"/>
    </xf>
    <xf numFmtId="0" fontId="103" fillId="0" borderId="9" xfId="0" applyFont="1" applyBorder="1" applyAlignment="1">
      <alignment horizontal="center" vertical="center"/>
    </xf>
    <xf numFmtId="0" fontId="103" fillId="0" borderId="2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/>
    </xf>
    <xf numFmtId="0" fontId="103" fillId="0" borderId="6" xfId="0" applyFont="1" applyBorder="1" applyAlignment="1">
      <alignment horizontal="center" vertical="center"/>
    </xf>
    <xf numFmtId="0" fontId="103" fillId="0" borderId="4" xfId="0" applyFont="1" applyBorder="1" applyAlignment="1">
      <alignment horizontal="center" vertical="center"/>
    </xf>
    <xf numFmtId="0" fontId="103" fillId="0" borderId="7" xfId="0" applyFont="1" applyBorder="1" applyAlignment="1">
      <alignment horizontal="center" vertical="center"/>
    </xf>
    <xf numFmtId="0" fontId="101" fillId="0" borderId="4" xfId="0" applyFont="1" applyBorder="1" applyAlignment="1">
      <alignment horizontal="center" vertical="center"/>
    </xf>
    <xf numFmtId="0" fontId="121" fillId="0" borderId="0" xfId="1" applyFont="1" applyAlignment="1">
      <alignment horizontal="center" vertical="center"/>
    </xf>
    <xf numFmtId="0" fontId="115" fillId="0" borderId="0" xfId="1" applyFont="1" applyAlignment="1">
      <alignment horizontal="center" vertical="center"/>
    </xf>
    <xf numFmtId="0" fontId="121" fillId="0" borderId="2" xfId="1" applyFont="1" applyBorder="1" applyAlignment="1">
      <alignment horizontal="center" vertical="center"/>
    </xf>
    <xf numFmtId="0" fontId="121" fillId="0" borderId="2" xfId="1" applyFont="1" applyBorder="1" applyAlignment="1">
      <alignment horizontal="center" vertical="center" shrinkToFit="1"/>
    </xf>
    <xf numFmtId="0" fontId="139" fillId="0" borderId="5" xfId="0" applyFont="1" applyBorder="1" applyAlignment="1">
      <alignment horizontal="center" vertical="center" wrapText="1"/>
    </xf>
    <xf numFmtId="0" fontId="138" fillId="0" borderId="5" xfId="0" applyFont="1" applyBorder="1" applyAlignment="1">
      <alignment horizontal="center" vertical="center" wrapText="1"/>
    </xf>
    <xf numFmtId="0" fontId="129" fillId="0" borderId="5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 shrinkToFit="1"/>
    </xf>
    <xf numFmtId="0" fontId="116" fillId="0" borderId="16" xfId="1" applyFont="1" applyBorder="1" applyAlignment="1">
      <alignment horizontal="center" vertical="center" shrinkToFit="1"/>
    </xf>
    <xf numFmtId="177" fontId="116" fillId="0" borderId="42" xfId="1" applyNumberFormat="1" applyFont="1" applyBorder="1" applyAlignment="1">
      <alignment horizontal="center" vertical="center" shrinkToFit="1"/>
    </xf>
    <xf numFmtId="0" fontId="116" fillId="0" borderId="42" xfId="1" applyFont="1" applyBorder="1" applyAlignment="1">
      <alignment horizontal="center" vertical="center" shrinkToFit="1"/>
    </xf>
    <xf numFmtId="181" fontId="116" fillId="0" borderId="42" xfId="1" applyNumberFormat="1" applyFont="1" applyBorder="1" applyAlignment="1">
      <alignment horizontal="center" vertical="center" shrinkToFit="1"/>
    </xf>
    <xf numFmtId="195" fontId="116" fillId="0" borderId="2" xfId="1" applyNumberFormat="1" applyFont="1" applyBorder="1" applyAlignment="1">
      <alignment horizontal="center" vertical="center" shrinkToFit="1"/>
    </xf>
    <xf numFmtId="183" fontId="116" fillId="0" borderId="2" xfId="1" applyNumberFormat="1" applyFont="1" applyBorder="1" applyAlignment="1">
      <alignment horizontal="center" vertical="center" shrinkToFit="1"/>
    </xf>
    <xf numFmtId="177" fontId="116" fillId="0" borderId="2" xfId="1" applyNumberFormat="1" applyFont="1" applyBorder="1" applyAlignment="1">
      <alignment horizontal="center" vertical="center" shrinkToFit="1"/>
    </xf>
    <xf numFmtId="0" fontId="116" fillId="0" borderId="56" xfId="1" applyFont="1" applyBorder="1" applyAlignment="1">
      <alignment horizontal="center" vertical="center"/>
    </xf>
    <xf numFmtId="0" fontId="116" fillId="0" borderId="57" xfId="1" applyFont="1" applyBorder="1" applyAlignment="1">
      <alignment horizontal="center" vertical="center"/>
    </xf>
    <xf numFmtId="183" fontId="132" fillId="0" borderId="57" xfId="1" applyNumberFormat="1" applyFont="1" applyBorder="1" applyAlignment="1">
      <alignment horizontal="center" vertical="center" shrinkToFit="1"/>
    </xf>
    <xf numFmtId="0" fontId="116" fillId="0" borderId="13" xfId="1" applyFont="1" applyBorder="1" applyAlignment="1">
      <alignment horizontal="center" vertical="center"/>
    </xf>
    <xf numFmtId="0" fontId="116" fillId="0" borderId="0" xfId="1" applyFont="1" applyAlignment="1">
      <alignment horizontal="center" vertical="center"/>
    </xf>
    <xf numFmtId="0" fontId="116" fillId="0" borderId="41" xfId="1" applyFont="1" applyBorder="1" applyAlignment="1">
      <alignment horizontal="center" vertical="center"/>
    </xf>
    <xf numFmtId="0" fontId="116" fillId="0" borderId="16" xfId="1" applyFont="1" applyBorder="1" applyAlignment="1">
      <alignment horizontal="center" vertical="center"/>
    </xf>
    <xf numFmtId="0" fontId="116" fillId="0" borderId="2" xfId="1" applyFont="1" applyBorder="1" applyAlignment="1">
      <alignment horizontal="center" vertical="center" shrinkToFit="1"/>
    </xf>
    <xf numFmtId="0" fontId="116" fillId="0" borderId="33" xfId="1" applyFont="1" applyBorder="1" applyAlignment="1">
      <alignment horizontal="center" vertical="center"/>
    </xf>
    <xf numFmtId="0" fontId="116" fillId="0" borderId="3" xfId="1" applyFont="1" applyBorder="1" applyAlignment="1">
      <alignment horizontal="center" vertical="center"/>
    </xf>
    <xf numFmtId="0" fontId="129" fillId="0" borderId="13" xfId="1" applyFont="1" applyBorder="1" applyAlignment="1">
      <alignment horizontal="center" vertical="center"/>
    </xf>
    <xf numFmtId="0" fontId="129" fillId="0" borderId="0" xfId="1" applyFont="1" applyAlignment="1">
      <alignment horizontal="center" vertical="center"/>
    </xf>
    <xf numFmtId="0" fontId="129" fillId="0" borderId="52" xfId="1" applyFont="1" applyBorder="1" applyAlignment="1">
      <alignment horizontal="center" vertical="center"/>
    </xf>
    <xf numFmtId="0" fontId="129" fillId="0" borderId="53" xfId="1" applyFont="1" applyBorder="1" applyAlignment="1">
      <alignment horizontal="center" vertical="center"/>
    </xf>
    <xf numFmtId="0" fontId="116" fillId="0" borderId="53" xfId="1" applyFont="1" applyBorder="1" applyAlignment="1">
      <alignment horizontal="center" vertical="center"/>
    </xf>
    <xf numFmtId="0" fontId="129" fillId="0" borderId="2" xfId="1" applyFont="1" applyBorder="1" applyAlignment="1">
      <alignment horizontal="center" vertical="center" shrinkToFit="1"/>
    </xf>
    <xf numFmtId="0" fontId="116" fillId="0" borderId="53" xfId="1" applyFont="1" applyBorder="1" applyAlignment="1">
      <alignment horizontal="center" vertical="center" shrinkToFit="1"/>
    </xf>
    <xf numFmtId="0" fontId="129" fillId="0" borderId="0" xfId="1" applyFont="1" applyAlignment="1">
      <alignment horizontal="center" vertical="center" shrinkToFit="1"/>
    </xf>
    <xf numFmtId="0" fontId="129" fillId="0" borderId="53" xfId="1" applyFont="1" applyBorder="1" applyAlignment="1">
      <alignment horizontal="center" vertical="center" shrinkToFit="1"/>
    </xf>
    <xf numFmtId="0" fontId="116" fillId="0" borderId="2" xfId="1" applyFont="1" applyBorder="1" applyAlignment="1">
      <alignment horizontal="center" vertical="center"/>
    </xf>
    <xf numFmtId="177" fontId="116" fillId="0" borderId="4" xfId="1" applyNumberFormat="1" applyFont="1" applyBorder="1" applyAlignment="1">
      <alignment horizontal="center" vertical="center" shrinkToFit="1"/>
    </xf>
    <xf numFmtId="0" fontId="116" fillId="0" borderId="1" xfId="1" applyFont="1" applyBorder="1" applyAlignment="1">
      <alignment horizontal="center" vertical="center"/>
    </xf>
    <xf numFmtId="0" fontId="116" fillId="0" borderId="9" xfId="1" applyFont="1" applyBorder="1" applyAlignment="1">
      <alignment horizontal="center" vertical="center"/>
    </xf>
    <xf numFmtId="177" fontId="116" fillId="0" borderId="0" xfId="1" applyNumberFormat="1" applyFont="1" applyAlignment="1">
      <alignment horizontal="center" vertical="center"/>
    </xf>
    <xf numFmtId="177" fontId="116" fillId="0" borderId="2" xfId="1" applyNumberFormat="1" applyFont="1" applyBorder="1" applyAlignment="1">
      <alignment horizontal="center" vertical="center"/>
    </xf>
    <xf numFmtId="0" fontId="129" fillId="0" borderId="54" xfId="1" applyFont="1" applyBorder="1" applyAlignment="1">
      <alignment horizontal="center" vertical="center" shrinkToFit="1"/>
    </xf>
    <xf numFmtId="0" fontId="116" fillId="0" borderId="8" xfId="1" applyFont="1" applyBorder="1" applyAlignment="1">
      <alignment horizontal="center" vertical="center"/>
    </xf>
    <xf numFmtId="177" fontId="132" fillId="0" borderId="3" xfId="1" applyNumberFormat="1" applyFont="1" applyBorder="1" applyAlignment="1">
      <alignment horizontal="center" vertical="center" shrinkToFit="1"/>
    </xf>
    <xf numFmtId="0" fontId="116" fillId="0" borderId="35" xfId="1" applyFont="1" applyBorder="1" applyAlignment="1">
      <alignment horizontal="center" vertical="center"/>
    </xf>
    <xf numFmtId="189" fontId="116" fillId="0" borderId="0" xfId="1" applyNumberFormat="1" applyFont="1" applyAlignment="1">
      <alignment horizontal="center" vertical="center"/>
    </xf>
    <xf numFmtId="189" fontId="116" fillId="0" borderId="2" xfId="1" applyNumberFormat="1" applyFont="1" applyBorder="1" applyAlignment="1">
      <alignment horizontal="center" vertical="center"/>
    </xf>
    <xf numFmtId="183" fontId="116" fillId="0" borderId="2" xfId="1" applyNumberFormat="1" applyFont="1" applyBorder="1" applyAlignment="1">
      <alignment horizontal="center" vertical="center"/>
    </xf>
    <xf numFmtId="181" fontId="116" fillId="0" borderId="2" xfId="1" applyNumberFormat="1" applyFont="1" applyBorder="1" applyAlignment="1">
      <alignment horizontal="center" vertical="center"/>
    </xf>
    <xf numFmtId="181" fontId="132" fillId="0" borderId="0" xfId="1" applyNumberFormat="1" applyFont="1" applyAlignment="1">
      <alignment horizontal="center" vertical="center"/>
    </xf>
    <xf numFmtId="0" fontId="116" fillId="0" borderId="4" xfId="1" applyFont="1" applyBorder="1" applyAlignment="1">
      <alignment horizontal="center" vertical="center"/>
    </xf>
    <xf numFmtId="0" fontId="116" fillId="0" borderId="4" xfId="1" applyFont="1" applyBorder="1" applyAlignment="1">
      <alignment horizontal="center" vertical="center" shrinkToFit="1"/>
    </xf>
    <xf numFmtId="2" fontId="116" fillId="0" borderId="0" xfId="1" applyNumberFormat="1" applyFont="1" applyAlignment="1">
      <alignment horizontal="center" vertical="center"/>
    </xf>
    <xf numFmtId="0" fontId="116" fillId="0" borderId="3" xfId="1" applyFont="1" applyBorder="1" applyAlignment="1">
      <alignment horizontal="left" vertical="center"/>
    </xf>
    <xf numFmtId="181" fontId="132" fillId="0" borderId="3" xfId="1" applyNumberFormat="1" applyFont="1" applyBorder="1" applyAlignment="1">
      <alignment horizontal="center" vertical="center" shrinkToFit="1"/>
    </xf>
    <xf numFmtId="0" fontId="116" fillId="0" borderId="3" xfId="1" applyFont="1" applyBorder="1" applyAlignment="1">
      <alignment horizontal="center" vertical="center" shrinkToFit="1"/>
    </xf>
    <xf numFmtId="0" fontId="116" fillId="0" borderId="50" xfId="1" applyFont="1" applyBorder="1" applyAlignment="1">
      <alignment horizontal="center" vertical="center"/>
    </xf>
    <xf numFmtId="0" fontId="116" fillId="0" borderId="49" xfId="1" applyFont="1" applyBorder="1" applyAlignment="1">
      <alignment horizontal="center" vertical="center"/>
    </xf>
    <xf numFmtId="0" fontId="142" fillId="0" borderId="0" xfId="1" applyFont="1" applyAlignment="1">
      <alignment horizontal="center" vertical="center"/>
    </xf>
    <xf numFmtId="0" fontId="143" fillId="0" borderId="43" xfId="1" applyFont="1" applyBorder="1" applyAlignment="1">
      <alignment horizontal="center" vertical="center"/>
    </xf>
    <xf numFmtId="0" fontId="143" fillId="0" borderId="44" xfId="1" applyFont="1" applyBorder="1" applyAlignment="1">
      <alignment horizontal="center" vertical="center"/>
    </xf>
    <xf numFmtId="0" fontId="143" fillId="0" borderId="45" xfId="1" applyFont="1" applyBorder="1" applyAlignment="1">
      <alignment horizontal="center" vertical="center"/>
    </xf>
    <xf numFmtId="0" fontId="143" fillId="0" borderId="46" xfId="1" applyFont="1" applyBorder="1" applyAlignment="1">
      <alignment horizontal="center" vertical="center"/>
    </xf>
    <xf numFmtId="177" fontId="132" fillId="0" borderId="48" xfId="1" applyNumberFormat="1" applyFont="1" applyBorder="1" applyAlignment="1">
      <alignment horizontal="center" vertical="center"/>
    </xf>
    <xf numFmtId="197" fontId="12" fillId="0" borderId="0" xfId="0" applyNumberFormat="1" applyFont="1" applyAlignment="1">
      <alignment horizontal="left" vertical="center"/>
    </xf>
    <xf numFmtId="183" fontId="116" fillId="0" borderId="0" xfId="1" applyNumberFormat="1" applyFont="1" applyAlignment="1">
      <alignment horizontal="center" vertical="center" shrinkToFit="1"/>
    </xf>
    <xf numFmtId="183" fontId="116" fillId="0" borderId="16" xfId="1" applyNumberFormat="1" applyFont="1" applyBorder="1" applyAlignment="1">
      <alignment horizontal="center" vertical="center" shrinkToFit="1"/>
    </xf>
    <xf numFmtId="0" fontId="129" fillId="0" borderId="16" xfId="1" applyFont="1" applyBorder="1" applyAlignment="1">
      <alignment horizontal="center" vertical="center"/>
    </xf>
    <xf numFmtId="0" fontId="116" fillId="0" borderId="0" xfId="1" quotePrefix="1" applyFont="1" applyAlignment="1">
      <alignment horizontal="center" vertical="center"/>
    </xf>
    <xf numFmtId="0" fontId="116" fillId="0" borderId="65" xfId="1" applyFont="1" applyBorder="1" applyAlignment="1">
      <alignment horizontal="center" vertical="center"/>
    </xf>
    <xf numFmtId="0" fontId="116" fillId="0" borderId="67" xfId="1" applyFont="1" applyBorder="1" applyAlignment="1">
      <alignment horizontal="center" vertical="center"/>
    </xf>
    <xf numFmtId="0" fontId="116" fillId="0" borderId="64" xfId="1" applyFont="1" applyBorder="1" applyAlignment="1">
      <alignment horizontal="center" vertical="center"/>
    </xf>
    <xf numFmtId="183" fontId="132" fillId="0" borderId="3" xfId="1" applyNumberFormat="1" applyFont="1" applyBorder="1" applyAlignment="1">
      <alignment horizontal="center" vertical="center"/>
    </xf>
    <xf numFmtId="0" fontId="129" fillId="0" borderId="3" xfId="1" applyFont="1" applyBorder="1" applyAlignment="1">
      <alignment horizontal="center" vertical="center"/>
    </xf>
    <xf numFmtId="183" fontId="132" fillId="0" borderId="3" xfId="1" applyNumberFormat="1" applyFont="1" applyBorder="1" applyAlignment="1">
      <alignment horizontal="center" vertical="center" shrinkToFit="1"/>
    </xf>
    <xf numFmtId="0" fontId="116" fillId="0" borderId="66" xfId="1" applyFont="1" applyBorder="1" applyAlignment="1">
      <alignment horizontal="center" vertical="center"/>
    </xf>
    <xf numFmtId="183" fontId="116" fillId="0" borderId="4" xfId="1" applyNumberFormat="1" applyFont="1" applyBorder="1" applyAlignment="1">
      <alignment horizontal="center" vertical="center"/>
    </xf>
    <xf numFmtId="183" fontId="116" fillId="0" borderId="4" xfId="1" applyNumberFormat="1" applyFont="1" applyBorder="1" applyAlignment="1">
      <alignment horizontal="center" vertical="center" shrinkToFit="1"/>
    </xf>
    <xf numFmtId="177" fontId="116" fillId="0" borderId="4" xfId="1" quotePrefix="1" applyNumberFormat="1" applyFont="1" applyBorder="1" applyAlignment="1">
      <alignment horizontal="center" vertical="center" shrinkToFit="1"/>
    </xf>
    <xf numFmtId="183" fontId="116" fillId="0" borderId="42" xfId="1" applyNumberFormat="1" applyFont="1" applyBorder="1" applyAlignment="1">
      <alignment horizontal="center" vertical="center"/>
    </xf>
    <xf numFmtId="191" fontId="141" fillId="0" borderId="3" xfId="1" applyNumberFormat="1" applyFont="1" applyBorder="1" applyAlignment="1">
      <alignment horizontal="center" vertical="center"/>
    </xf>
    <xf numFmtId="183" fontId="116" fillId="0" borderId="3" xfId="1" applyNumberFormat="1" applyFont="1" applyBorder="1" applyAlignment="1">
      <alignment horizontal="center" vertical="center" shrinkToFit="1"/>
    </xf>
    <xf numFmtId="181" fontId="116" fillId="0" borderId="0" xfId="1" applyNumberFormat="1" applyFont="1" applyAlignment="1">
      <alignment horizontal="center" vertical="center" shrinkToFit="1"/>
    </xf>
    <xf numFmtId="0" fontId="116" fillId="0" borderId="54" xfId="1" applyFont="1" applyBorder="1" applyAlignment="1">
      <alignment horizontal="center" vertical="center"/>
    </xf>
    <xf numFmtId="0" fontId="116" fillId="0" borderId="52" xfId="1" applyFont="1" applyBorder="1" applyAlignment="1">
      <alignment horizontal="center" vertical="center"/>
    </xf>
    <xf numFmtId="0" fontId="116" fillId="0" borderId="52" xfId="1" applyFont="1" applyBorder="1" applyAlignment="1">
      <alignment horizontal="left" vertical="center"/>
    </xf>
    <xf numFmtId="0" fontId="116" fillId="0" borderId="53" xfId="1" applyFont="1" applyBorder="1" applyAlignment="1">
      <alignment horizontal="left" vertical="center"/>
    </xf>
    <xf numFmtId="176" fontId="52" fillId="0" borderId="0" xfId="1" applyNumberFormat="1" applyFont="1" applyAlignment="1">
      <alignment horizontal="center" vertical="center"/>
    </xf>
    <xf numFmtId="0" fontId="142" fillId="0" borderId="13" xfId="1" applyFont="1" applyBorder="1" applyAlignment="1">
      <alignment horizontal="center" vertical="center"/>
    </xf>
    <xf numFmtId="0" fontId="142" fillId="0" borderId="49" xfId="1" applyFont="1" applyBorder="1" applyAlignment="1">
      <alignment horizontal="center" vertical="center"/>
    </xf>
    <xf numFmtId="0" fontId="139" fillId="0" borderId="31" xfId="0" applyFont="1" applyBorder="1" applyAlignment="1">
      <alignment horizontal="center" vertical="center" wrapText="1"/>
    </xf>
    <xf numFmtId="0" fontId="116" fillId="0" borderId="62" xfId="1" applyFont="1" applyBorder="1" applyAlignment="1">
      <alignment horizontal="center" vertical="center"/>
    </xf>
    <xf numFmtId="0" fontId="116" fillId="0" borderId="48" xfId="1" applyFont="1" applyBorder="1" applyAlignment="1">
      <alignment horizontal="center" vertical="center"/>
    </xf>
    <xf numFmtId="0" fontId="52" fillId="0" borderId="49" xfId="1" applyFont="1" applyBorder="1" applyAlignment="1">
      <alignment horizontal="center" vertical="center"/>
    </xf>
    <xf numFmtId="176" fontId="52" fillId="0" borderId="2" xfId="1" applyNumberFormat="1" applyFont="1" applyBorder="1" applyAlignment="1">
      <alignment horizontal="center" vertical="center"/>
    </xf>
    <xf numFmtId="0" fontId="52" fillId="0" borderId="0" xfId="1" applyFont="1" applyAlignment="1">
      <alignment horizontal="left" vertical="center"/>
    </xf>
    <xf numFmtId="0" fontId="116" fillId="0" borderId="13" xfId="1" applyFont="1" applyBorder="1" applyAlignment="1">
      <alignment horizontal="left" vertical="center"/>
    </xf>
    <xf numFmtId="0" fontId="116" fillId="0" borderId="0" xfId="1" applyFont="1" applyAlignment="1">
      <alignment horizontal="left" vertical="center"/>
    </xf>
    <xf numFmtId="183" fontId="116" fillId="0" borderId="0" xfId="1" applyNumberFormat="1" applyFont="1" applyAlignment="1">
      <alignment horizontal="center" vertical="center"/>
    </xf>
    <xf numFmtId="183" fontId="132" fillId="0" borderId="57" xfId="1" applyNumberFormat="1" applyFont="1" applyBorder="1" applyAlignment="1">
      <alignment horizontal="center" vertical="center"/>
    </xf>
    <xf numFmtId="195" fontId="116" fillId="0" borderId="3" xfId="1" applyNumberFormat="1" applyFont="1" applyBorder="1" applyAlignment="1">
      <alignment horizontal="center" vertical="center" shrinkToFit="1"/>
    </xf>
    <xf numFmtId="0" fontId="141" fillId="0" borderId="0" xfId="1" applyFont="1" applyAlignment="1">
      <alignment horizontal="center" vertical="center"/>
    </xf>
    <xf numFmtId="0" fontId="116" fillId="0" borderId="3" xfId="0" applyFont="1" applyBorder="1" applyAlignment="1">
      <alignment horizontal="center" vertical="center"/>
    </xf>
    <xf numFmtId="2" fontId="116" fillId="0" borderId="3" xfId="0" applyNumberFormat="1" applyFont="1" applyBorder="1" applyAlignment="1">
      <alignment horizontal="center" vertical="center" shrinkToFit="1"/>
    </xf>
    <xf numFmtId="0" fontId="116" fillId="0" borderId="0" xfId="0" applyFont="1" applyAlignment="1">
      <alignment horizontal="center" vertical="center"/>
    </xf>
    <xf numFmtId="181" fontId="116" fillId="0" borderId="2" xfId="0" applyNumberFormat="1" applyFont="1" applyBorder="1" applyAlignment="1">
      <alignment horizontal="center" vertical="center" shrinkToFit="1"/>
    </xf>
    <xf numFmtId="0" fontId="116" fillId="0" borderId="0" xfId="0" applyFont="1" applyAlignment="1">
      <alignment horizontal="center" vertical="center" shrinkToFit="1"/>
    </xf>
    <xf numFmtId="0" fontId="129" fillId="0" borderId="0" xfId="0" applyFont="1" applyAlignment="1">
      <alignment horizontal="center" vertical="center"/>
    </xf>
    <xf numFmtId="0" fontId="116" fillId="0" borderId="2" xfId="0" applyFont="1" applyBorder="1" applyAlignment="1">
      <alignment horizontal="center" vertical="center"/>
    </xf>
  </cellXfs>
  <cellStyles count="55">
    <cellStyle name="20% - 강조색1 2" xfId="14" xr:uid="{4E4D4265-C3AE-4A42-BB9C-E5592017CE4A}"/>
    <cellStyle name="20% - 강조색2 2" xfId="15" xr:uid="{3F25E659-C977-4260-B8C9-12724BE05034}"/>
    <cellStyle name="20% - 강조색3 2" xfId="16" xr:uid="{A1936F0A-12E0-485F-BFD8-FBF1565BA31F}"/>
    <cellStyle name="20% - 강조색4 2" xfId="17" xr:uid="{6AE1B7AF-D609-42C9-A6E8-38CB9D20C83D}"/>
    <cellStyle name="20% - 강조색5 2" xfId="18" xr:uid="{5E0BB79F-B745-4192-9CDC-3AF7F8192AAD}"/>
    <cellStyle name="20% - 강조색6 2" xfId="19" xr:uid="{99675B18-AD81-4403-8DB4-2DBD337AD798}"/>
    <cellStyle name="40% - 강조색1 2" xfId="20" xr:uid="{7C3DBD0D-3D73-4A49-B353-FFC666B82AC3}"/>
    <cellStyle name="40% - 강조색2 2" xfId="21" xr:uid="{A68A3477-3390-4813-A44A-3500C893B783}"/>
    <cellStyle name="40% - 강조색3 2" xfId="22" xr:uid="{0DC5676B-18AF-4BCD-83C8-1831B2CFC059}"/>
    <cellStyle name="40% - 강조색4 2" xfId="23" xr:uid="{82DD01FB-0BF8-4176-B181-ADC4B74714A3}"/>
    <cellStyle name="40% - 강조색5 2" xfId="24" xr:uid="{B2BADB68-BC16-4718-874D-3BC69DCF82CA}"/>
    <cellStyle name="40% - 강조색6 2" xfId="25" xr:uid="{C22C19F8-0A47-4546-8584-FC20D513E085}"/>
    <cellStyle name="60% - 강조색1 2" xfId="26" xr:uid="{CFD30609-4235-437F-A331-8398418E8CFC}"/>
    <cellStyle name="60% - 강조색2 2" xfId="27" xr:uid="{D10F76EE-D740-46D2-A436-BF837E85FC47}"/>
    <cellStyle name="60% - 강조색3 2" xfId="28" xr:uid="{4B8BF838-6132-4B1B-8E30-8D65CE818054}"/>
    <cellStyle name="60% - 강조색4 2" xfId="29" xr:uid="{7946D6A4-02A3-4D89-AA6C-DD40F3FD3D86}"/>
    <cellStyle name="60% - 강조색5 2" xfId="30" xr:uid="{ECBF6ED9-0EAC-45CE-A62A-5224D24F14AB}"/>
    <cellStyle name="60% - 강조색6 2" xfId="31" xr:uid="{66B6AB7F-B505-4F9B-AA89-37B37D828CA4}"/>
    <cellStyle name="강조색1 2" xfId="32" xr:uid="{5BD9D615-DF6E-4563-8089-8840F8FFFDC9}"/>
    <cellStyle name="강조색2 2" xfId="33" xr:uid="{7875DDA5-422A-4EFF-9D37-4AE7F0114DFB}"/>
    <cellStyle name="강조색3 2" xfId="34" xr:uid="{DF6A478B-DD16-42A0-8D1D-F2D4EC8B3705}"/>
    <cellStyle name="강조색4 2" xfId="35" xr:uid="{9B69201C-FFAB-4766-916F-D001F1ABFEA3}"/>
    <cellStyle name="강조색5 2" xfId="36" xr:uid="{BD129C93-FBB6-48D9-A0DE-EC8D8CDBE7A4}"/>
    <cellStyle name="강조색6 2" xfId="37" xr:uid="{164211CE-405C-48E6-B4D6-892ECEBFFC53}"/>
    <cellStyle name="경고문 2" xfId="38" xr:uid="{4455971C-F708-4278-938C-10F49F50C108}"/>
    <cellStyle name="계산 2" xfId="39" xr:uid="{8BB41110-608C-4390-84DB-51C59D43F0DC}"/>
    <cellStyle name="나쁨 2" xfId="40" xr:uid="{2598BAD2-6480-4193-9595-33966C95A1CF}"/>
    <cellStyle name="메모 2" xfId="41" xr:uid="{20531369-5E92-4B1D-92CD-C7A0D45703A0}"/>
    <cellStyle name="백분율 2" xfId="13" xr:uid="{95ED2D9F-BEAE-4031-B6E4-F8FD96A79C31}"/>
    <cellStyle name="보통 2" xfId="42" xr:uid="{3F2789A6-C4EA-4E32-8A21-D6F3173A578A}"/>
    <cellStyle name="설명 텍스트 2" xfId="43" xr:uid="{38D620DB-6B97-45AF-A2F4-C70B160B82D1}"/>
    <cellStyle name="셀 확인 2" xfId="44" xr:uid="{9B43E9F9-50FA-4F57-9087-31FFC56CD5B3}"/>
    <cellStyle name="쉼표 [0]" xfId="7" builtinId="6"/>
    <cellStyle name="쉼표 [0] 2" xfId="12" xr:uid="{2D2653F5-3A90-4BDE-9AD9-BD6FFAA2932F}"/>
    <cellStyle name="연결된 셀 2" xfId="45" xr:uid="{FD144B22-FC8D-4FB8-8AB6-AD64D624D452}"/>
    <cellStyle name="요약 2" xfId="46" xr:uid="{65A427B9-3F1D-43A8-9025-E6DC8EBD5508}"/>
    <cellStyle name="입력 2" xfId="47" xr:uid="{AE7DCABB-2775-4357-9775-8646B744EDA9}"/>
    <cellStyle name="제목 1 2" xfId="49" xr:uid="{D48EE64C-0F85-4901-9CEC-FAD327CC8949}"/>
    <cellStyle name="제목 2 2" xfId="50" xr:uid="{BFD31D8F-CB86-4F9D-8B51-2CC0795C3897}"/>
    <cellStyle name="제목 3 2" xfId="51" xr:uid="{29D1DB2B-FDB1-430E-BF28-FCD0DB10CAD3}"/>
    <cellStyle name="제목 4 2" xfId="52" xr:uid="{894C0F0E-51D8-4F94-858C-9987D7D51AE6}"/>
    <cellStyle name="제목 5" xfId="48" xr:uid="{4A4D729D-5B7E-4AB0-9FDF-C0567C66FAD0}"/>
    <cellStyle name="좋음 2" xfId="53" xr:uid="{6CBB7135-8550-4CB2-A6B7-08EF68A1682F}"/>
    <cellStyle name="출력 2" xfId="54" xr:uid="{A146E762-77F2-481E-B0C0-53F2195DC87F}"/>
    <cellStyle name="통화 [0] 2" xfId="2" xr:uid="{00000000-0005-0000-0000-000001000000}"/>
    <cellStyle name="통화 [0] 2 2" xfId="6" xr:uid="{00000000-0005-0000-0000-000002000000}"/>
    <cellStyle name="통화 [0] 2 2 2" xfId="11" xr:uid="{37DFD9C0-9123-4D82-A885-7D777CD0BBF8}"/>
    <cellStyle name="통화 [0] 2 3" xfId="10" xr:uid="{A996E6B7-0D3C-4525-AA72-ACD31A87C327}"/>
    <cellStyle name="표준" xfId="0" builtinId="0"/>
    <cellStyle name="표준 2" xfId="1" xr:uid="{00000000-0005-0000-0000-000004000000}"/>
    <cellStyle name="표준 2 2" xfId="8" xr:uid="{00000000-0005-0000-0000-000005000000}"/>
    <cellStyle name="표준 2 4" xfId="9" xr:uid="{00000000-0005-0000-0000-000006000000}"/>
    <cellStyle name="표준 3" xfId="4" xr:uid="{00000000-0005-0000-0000-000007000000}"/>
    <cellStyle name="표준_대기측정기록부(변경본05.7)" xfId="3" xr:uid="{00000000-0005-0000-0000-000008000000}"/>
    <cellStyle name="표준_포화수증기압" xfId="5" xr:uid="{00000000-0005-0000-0000-000009000000}"/>
  </cellStyles>
  <dxfs count="7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9" defaultPivotStyle="PivotStyleLight16"/>
  <colors>
    <mruColors>
      <color rgb="FFCCFFCC"/>
      <color rgb="FFFF99CC"/>
      <color rgb="FFFFCCFF"/>
      <color rgb="FFEEECE1"/>
      <color rgb="FFFF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microsoft.com/office/2007/relationships/hdphoto" Target="../media/hdphoto3.wdp"/><Relationship Id="rId18" Type="http://schemas.microsoft.com/office/2007/relationships/hdphoto" Target="../media/hdphoto5.wdp"/><Relationship Id="rId26" Type="http://schemas.microsoft.com/office/2007/relationships/hdphoto" Target="../media/hdphoto9.wdp"/><Relationship Id="rId3" Type="http://schemas.openxmlformats.org/officeDocument/2006/relationships/image" Target="../media/image8.png"/><Relationship Id="rId21" Type="http://schemas.openxmlformats.org/officeDocument/2006/relationships/image" Target="../media/image20.png"/><Relationship Id="rId7" Type="http://schemas.microsoft.com/office/2007/relationships/hdphoto" Target="../media/hdphoto1.wdp"/><Relationship Id="rId12" Type="http://schemas.openxmlformats.org/officeDocument/2006/relationships/image" Target="../media/image15.png"/><Relationship Id="rId17" Type="http://schemas.openxmlformats.org/officeDocument/2006/relationships/image" Target="../media/image18.png"/><Relationship Id="rId25" Type="http://schemas.openxmlformats.org/officeDocument/2006/relationships/image" Target="../media/image22.png"/><Relationship Id="rId2" Type="http://schemas.openxmlformats.org/officeDocument/2006/relationships/image" Target="../media/image7.png"/><Relationship Id="rId16" Type="http://schemas.openxmlformats.org/officeDocument/2006/relationships/image" Target="../media/image17.png"/><Relationship Id="rId20" Type="http://schemas.microsoft.com/office/2007/relationships/hdphoto" Target="../media/hdphoto6.wdp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microsoft.com/office/2007/relationships/hdphoto" Target="../media/hdphoto2.wdp"/><Relationship Id="rId24" Type="http://schemas.microsoft.com/office/2007/relationships/hdphoto" Target="../media/hdphoto8.wdp"/><Relationship Id="rId5" Type="http://schemas.openxmlformats.org/officeDocument/2006/relationships/image" Target="../media/image10.png"/><Relationship Id="rId15" Type="http://schemas.microsoft.com/office/2007/relationships/hdphoto" Target="../media/hdphoto4.wdp"/><Relationship Id="rId23" Type="http://schemas.openxmlformats.org/officeDocument/2006/relationships/image" Target="../media/image21.png"/><Relationship Id="rId10" Type="http://schemas.openxmlformats.org/officeDocument/2006/relationships/image" Target="../media/image14.png"/><Relationship Id="rId19" Type="http://schemas.openxmlformats.org/officeDocument/2006/relationships/image" Target="../media/image19.png"/><Relationship Id="rId4" Type="http://schemas.openxmlformats.org/officeDocument/2006/relationships/image" Target="../media/image9.png"/><Relationship Id="rId9" Type="http://schemas.openxmlformats.org/officeDocument/2006/relationships/image" Target="../media/image13.png"/><Relationship Id="rId14" Type="http://schemas.openxmlformats.org/officeDocument/2006/relationships/image" Target="../media/image16.png"/><Relationship Id="rId22" Type="http://schemas.microsoft.com/office/2007/relationships/hdphoto" Target="../media/hdphoto7.wdp"/><Relationship Id="rId27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microsoft.com/office/2007/relationships/hdphoto" Target="../media/hdphoto10.wdp"/><Relationship Id="rId18" Type="http://schemas.microsoft.com/office/2007/relationships/hdphoto" Target="../media/hdphoto5.wdp"/><Relationship Id="rId26" Type="http://schemas.microsoft.com/office/2007/relationships/hdphoto" Target="../media/hdphoto9.wdp"/><Relationship Id="rId3" Type="http://schemas.openxmlformats.org/officeDocument/2006/relationships/image" Target="../media/image8.png"/><Relationship Id="rId21" Type="http://schemas.openxmlformats.org/officeDocument/2006/relationships/image" Target="../media/image20.png"/><Relationship Id="rId7" Type="http://schemas.openxmlformats.org/officeDocument/2006/relationships/image" Target="../media/image13.png"/><Relationship Id="rId12" Type="http://schemas.openxmlformats.org/officeDocument/2006/relationships/image" Target="../media/image27.png"/><Relationship Id="rId17" Type="http://schemas.openxmlformats.org/officeDocument/2006/relationships/image" Target="../media/image18.png"/><Relationship Id="rId25" Type="http://schemas.openxmlformats.org/officeDocument/2006/relationships/image" Target="../media/image22.png"/><Relationship Id="rId2" Type="http://schemas.openxmlformats.org/officeDocument/2006/relationships/image" Target="../media/image7.png"/><Relationship Id="rId16" Type="http://schemas.microsoft.com/office/2007/relationships/hdphoto" Target="../media/hdphoto1.wdp"/><Relationship Id="rId20" Type="http://schemas.microsoft.com/office/2007/relationships/hdphoto" Target="../media/hdphoto6.wdp"/><Relationship Id="rId1" Type="http://schemas.openxmlformats.org/officeDocument/2006/relationships/image" Target="../media/image6.png"/><Relationship Id="rId6" Type="http://schemas.openxmlformats.org/officeDocument/2006/relationships/image" Target="../media/image26.png"/><Relationship Id="rId11" Type="http://schemas.microsoft.com/office/2007/relationships/hdphoto" Target="../media/hdphoto3.wdp"/><Relationship Id="rId24" Type="http://schemas.microsoft.com/office/2007/relationships/hdphoto" Target="../media/hdphoto8.wdp"/><Relationship Id="rId5" Type="http://schemas.openxmlformats.org/officeDocument/2006/relationships/image" Target="../media/image10.png"/><Relationship Id="rId15" Type="http://schemas.openxmlformats.org/officeDocument/2006/relationships/image" Target="../media/image11.png"/><Relationship Id="rId23" Type="http://schemas.openxmlformats.org/officeDocument/2006/relationships/image" Target="../media/image21.png"/><Relationship Id="rId10" Type="http://schemas.openxmlformats.org/officeDocument/2006/relationships/image" Target="../media/image15.png"/><Relationship Id="rId19" Type="http://schemas.openxmlformats.org/officeDocument/2006/relationships/image" Target="../media/image19.png"/><Relationship Id="rId4" Type="http://schemas.openxmlformats.org/officeDocument/2006/relationships/image" Target="../media/image9.png"/><Relationship Id="rId9" Type="http://schemas.microsoft.com/office/2007/relationships/hdphoto" Target="../media/hdphoto2.wdp"/><Relationship Id="rId14" Type="http://schemas.openxmlformats.org/officeDocument/2006/relationships/image" Target="../media/image17.png"/><Relationship Id="rId22" Type="http://schemas.microsoft.com/office/2007/relationships/hdphoto" Target="../media/hdphoto7.wdp"/><Relationship Id="rId27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microsoft.com/office/2007/relationships/hdphoto" Target="../media/hdphoto3.wdp"/><Relationship Id="rId18" Type="http://schemas.microsoft.com/office/2007/relationships/hdphoto" Target="../media/hdphoto5.wdp"/><Relationship Id="rId26" Type="http://schemas.microsoft.com/office/2007/relationships/hdphoto" Target="../media/hdphoto9.wdp"/><Relationship Id="rId3" Type="http://schemas.openxmlformats.org/officeDocument/2006/relationships/image" Target="../media/image8.png"/><Relationship Id="rId21" Type="http://schemas.openxmlformats.org/officeDocument/2006/relationships/image" Target="../media/image20.png"/><Relationship Id="rId7" Type="http://schemas.microsoft.com/office/2007/relationships/hdphoto" Target="../media/hdphoto1.wdp"/><Relationship Id="rId12" Type="http://schemas.openxmlformats.org/officeDocument/2006/relationships/image" Target="../media/image15.png"/><Relationship Id="rId17" Type="http://schemas.openxmlformats.org/officeDocument/2006/relationships/image" Target="../media/image18.png"/><Relationship Id="rId25" Type="http://schemas.openxmlformats.org/officeDocument/2006/relationships/image" Target="../media/image22.png"/><Relationship Id="rId2" Type="http://schemas.openxmlformats.org/officeDocument/2006/relationships/image" Target="../media/image7.png"/><Relationship Id="rId16" Type="http://schemas.openxmlformats.org/officeDocument/2006/relationships/image" Target="../media/image17.png"/><Relationship Id="rId20" Type="http://schemas.microsoft.com/office/2007/relationships/hdphoto" Target="../media/hdphoto6.wdp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microsoft.com/office/2007/relationships/hdphoto" Target="../media/hdphoto2.wdp"/><Relationship Id="rId24" Type="http://schemas.microsoft.com/office/2007/relationships/hdphoto" Target="../media/hdphoto8.wdp"/><Relationship Id="rId5" Type="http://schemas.openxmlformats.org/officeDocument/2006/relationships/image" Target="../media/image10.png"/><Relationship Id="rId15" Type="http://schemas.microsoft.com/office/2007/relationships/hdphoto" Target="../media/hdphoto4.wdp"/><Relationship Id="rId23" Type="http://schemas.openxmlformats.org/officeDocument/2006/relationships/image" Target="../media/image21.png"/><Relationship Id="rId10" Type="http://schemas.openxmlformats.org/officeDocument/2006/relationships/image" Target="../media/image14.png"/><Relationship Id="rId19" Type="http://schemas.openxmlformats.org/officeDocument/2006/relationships/image" Target="../media/image19.png"/><Relationship Id="rId4" Type="http://schemas.openxmlformats.org/officeDocument/2006/relationships/image" Target="../media/image9.png"/><Relationship Id="rId9" Type="http://schemas.openxmlformats.org/officeDocument/2006/relationships/image" Target="../media/image13.png"/><Relationship Id="rId14" Type="http://schemas.openxmlformats.org/officeDocument/2006/relationships/image" Target="../media/image16.png"/><Relationship Id="rId22" Type="http://schemas.microsoft.com/office/2007/relationships/hdphoto" Target="../media/hdphoto7.wdp"/><Relationship Id="rId27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8" Type="http://schemas.microsoft.com/office/2007/relationships/hdphoto" Target="../media/hdphoto11.wdp"/><Relationship Id="rId13" Type="http://schemas.openxmlformats.org/officeDocument/2006/relationships/image" Target="../media/image19.png"/><Relationship Id="rId18" Type="http://schemas.microsoft.com/office/2007/relationships/hdphoto" Target="../media/hdphoto9.wdp"/><Relationship Id="rId3" Type="http://schemas.openxmlformats.org/officeDocument/2006/relationships/image" Target="../media/image28.png"/><Relationship Id="rId7" Type="http://schemas.openxmlformats.org/officeDocument/2006/relationships/image" Target="../media/image29.png"/><Relationship Id="rId12" Type="http://schemas.microsoft.com/office/2007/relationships/hdphoto" Target="../media/hdphoto7.wdp"/><Relationship Id="rId17" Type="http://schemas.openxmlformats.org/officeDocument/2006/relationships/image" Target="../media/image22.png"/><Relationship Id="rId2" Type="http://schemas.openxmlformats.org/officeDocument/2006/relationships/image" Target="../media/image10.png"/><Relationship Id="rId16" Type="http://schemas.microsoft.com/office/2007/relationships/hdphoto" Target="../media/hdphoto8.wdp"/><Relationship Id="rId20" Type="http://schemas.openxmlformats.org/officeDocument/2006/relationships/image" Target="../media/image31.png"/><Relationship Id="rId1" Type="http://schemas.openxmlformats.org/officeDocument/2006/relationships/image" Target="../media/image7.png"/><Relationship Id="rId6" Type="http://schemas.openxmlformats.org/officeDocument/2006/relationships/image" Target="../media/image9.png"/><Relationship Id="rId11" Type="http://schemas.openxmlformats.org/officeDocument/2006/relationships/image" Target="../media/image20.png"/><Relationship Id="rId5" Type="http://schemas.microsoft.com/office/2007/relationships/hdphoto" Target="../media/hdphoto3.wdp"/><Relationship Id="rId15" Type="http://schemas.openxmlformats.org/officeDocument/2006/relationships/image" Target="../media/image21.png"/><Relationship Id="rId10" Type="http://schemas.microsoft.com/office/2007/relationships/hdphoto" Target="../media/hdphoto5.wdp"/><Relationship Id="rId19" Type="http://schemas.openxmlformats.org/officeDocument/2006/relationships/image" Target="../media/image30.png"/><Relationship Id="rId4" Type="http://schemas.openxmlformats.org/officeDocument/2006/relationships/image" Target="../media/image15.png"/><Relationship Id="rId9" Type="http://schemas.openxmlformats.org/officeDocument/2006/relationships/image" Target="../media/image18.png"/><Relationship Id="rId14" Type="http://schemas.microsoft.com/office/2007/relationships/hdphoto" Target="../media/hdphoto6.wdp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8.png"/><Relationship Id="rId12" Type="http://schemas.openxmlformats.org/officeDocument/2006/relationships/image" Target="../media/image38.png"/><Relationship Id="rId2" Type="http://schemas.openxmlformats.org/officeDocument/2006/relationships/image" Target="../media/image33.png"/><Relationship Id="rId16" Type="http://schemas.openxmlformats.org/officeDocument/2006/relationships/image" Target="../media/image41.png"/><Relationship Id="rId1" Type="http://schemas.openxmlformats.org/officeDocument/2006/relationships/image" Target="../media/image32.png"/><Relationship Id="rId6" Type="http://schemas.microsoft.com/office/2007/relationships/hdphoto" Target="../media/hdphoto12.wdp"/><Relationship Id="rId11" Type="http://schemas.microsoft.com/office/2007/relationships/hdphoto" Target="../media/hdphoto1.wdp"/><Relationship Id="rId5" Type="http://schemas.openxmlformats.org/officeDocument/2006/relationships/image" Target="../media/image36.png"/><Relationship Id="rId15" Type="http://schemas.microsoft.com/office/2007/relationships/hdphoto" Target="../media/hdphoto13.wdp"/><Relationship Id="rId10" Type="http://schemas.openxmlformats.org/officeDocument/2006/relationships/image" Target="../media/image11.png"/><Relationship Id="rId4" Type="http://schemas.openxmlformats.org/officeDocument/2006/relationships/image" Target="../media/image35.png"/><Relationship Id="rId9" Type="http://schemas.openxmlformats.org/officeDocument/2006/relationships/image" Target="../media/image37.png"/><Relationship Id="rId14" Type="http://schemas.openxmlformats.org/officeDocument/2006/relationships/image" Target="../media/image40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4.wdp"/><Relationship Id="rId1" Type="http://schemas.openxmlformats.org/officeDocument/2006/relationships/image" Target="../media/image43.png"/></Relationships>
</file>

<file path=xl/drawings/_rels/drawing9.xml.rels><?xml version="1.0" encoding="UTF-8" standalone="yes"?>
<Relationships xmlns="http://schemas.openxmlformats.org/package/2006/relationships"><Relationship Id="rId8" Type="http://schemas.microsoft.com/office/2007/relationships/hdphoto" Target="../media/hdphoto14.wdp"/><Relationship Id="rId13" Type="http://schemas.openxmlformats.org/officeDocument/2006/relationships/image" Target="../media/image7.png"/><Relationship Id="rId18" Type="http://schemas.microsoft.com/office/2007/relationships/hdphoto" Target="../media/hdphoto1.wdp"/><Relationship Id="rId26" Type="http://schemas.openxmlformats.org/officeDocument/2006/relationships/image" Target="../media/image17.png"/><Relationship Id="rId3" Type="http://schemas.openxmlformats.org/officeDocument/2006/relationships/image" Target="../media/image45.png"/><Relationship Id="rId21" Type="http://schemas.microsoft.com/office/2007/relationships/hdphoto" Target="../media/hdphoto2.wdp"/><Relationship Id="rId7" Type="http://schemas.openxmlformats.org/officeDocument/2006/relationships/image" Target="../media/image43.png"/><Relationship Id="rId12" Type="http://schemas.openxmlformats.org/officeDocument/2006/relationships/image" Target="../media/image6.png"/><Relationship Id="rId17" Type="http://schemas.openxmlformats.org/officeDocument/2006/relationships/image" Target="../media/image11.png"/><Relationship Id="rId25" Type="http://schemas.microsoft.com/office/2007/relationships/hdphoto" Target="../media/hdphoto4.wdp"/><Relationship Id="rId2" Type="http://schemas.microsoft.com/office/2007/relationships/hdphoto" Target="../media/hdphoto15.wdp"/><Relationship Id="rId16" Type="http://schemas.openxmlformats.org/officeDocument/2006/relationships/image" Target="../media/image10.png"/><Relationship Id="rId20" Type="http://schemas.openxmlformats.org/officeDocument/2006/relationships/image" Target="../media/image14.png"/><Relationship Id="rId29" Type="http://schemas.openxmlformats.org/officeDocument/2006/relationships/image" Target="../media/image18.png"/><Relationship Id="rId1" Type="http://schemas.openxmlformats.org/officeDocument/2006/relationships/image" Target="../media/image44.png"/><Relationship Id="rId6" Type="http://schemas.openxmlformats.org/officeDocument/2006/relationships/image" Target="../media/image12.png"/><Relationship Id="rId11" Type="http://schemas.openxmlformats.org/officeDocument/2006/relationships/image" Target="../media/image41.png"/><Relationship Id="rId24" Type="http://schemas.openxmlformats.org/officeDocument/2006/relationships/image" Target="../media/image16.png"/><Relationship Id="rId32" Type="http://schemas.microsoft.com/office/2007/relationships/hdphoto" Target="../media/hdphoto6.wdp"/><Relationship Id="rId5" Type="http://schemas.openxmlformats.org/officeDocument/2006/relationships/image" Target="../media/image47.png"/><Relationship Id="rId15" Type="http://schemas.openxmlformats.org/officeDocument/2006/relationships/image" Target="../media/image9.png"/><Relationship Id="rId23" Type="http://schemas.microsoft.com/office/2007/relationships/hdphoto" Target="../media/hdphoto3.wdp"/><Relationship Id="rId28" Type="http://schemas.microsoft.com/office/2007/relationships/hdphoto" Target="../media/hdphoto7.wdp"/><Relationship Id="rId10" Type="http://schemas.openxmlformats.org/officeDocument/2006/relationships/image" Target="../media/image3.emf"/><Relationship Id="rId19" Type="http://schemas.openxmlformats.org/officeDocument/2006/relationships/image" Target="../media/image28.png"/><Relationship Id="rId31" Type="http://schemas.openxmlformats.org/officeDocument/2006/relationships/image" Target="../media/image19.png"/><Relationship Id="rId4" Type="http://schemas.openxmlformats.org/officeDocument/2006/relationships/image" Target="../media/image46.emf"/><Relationship Id="rId9" Type="http://schemas.openxmlformats.org/officeDocument/2006/relationships/image" Target="../media/image2.emf"/><Relationship Id="rId14" Type="http://schemas.openxmlformats.org/officeDocument/2006/relationships/image" Target="../media/image8.png"/><Relationship Id="rId22" Type="http://schemas.openxmlformats.org/officeDocument/2006/relationships/image" Target="../media/image15.png"/><Relationship Id="rId27" Type="http://schemas.openxmlformats.org/officeDocument/2006/relationships/image" Target="../media/image20.png"/><Relationship Id="rId30" Type="http://schemas.microsoft.com/office/2007/relationships/hdphoto" Target="../media/hdphoto5.wdp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microsoft.com/office/2007/relationships/hdphoto" Target="../media/hdphoto2.wdp"/><Relationship Id="rId18" Type="http://schemas.openxmlformats.org/officeDocument/2006/relationships/image" Target="../media/image49.png"/><Relationship Id="rId3" Type="http://schemas.openxmlformats.org/officeDocument/2006/relationships/image" Target="../media/image7.png"/><Relationship Id="rId21" Type="http://schemas.microsoft.com/office/2007/relationships/hdphoto" Target="../media/hdphoto17.wdp"/><Relationship Id="rId7" Type="http://schemas.openxmlformats.org/officeDocument/2006/relationships/image" Target="../media/image46.emf"/><Relationship Id="rId12" Type="http://schemas.openxmlformats.org/officeDocument/2006/relationships/image" Target="../media/image14.png"/><Relationship Id="rId17" Type="http://schemas.microsoft.com/office/2007/relationships/hdphoto" Target="../media/hdphoto3.wdp"/><Relationship Id="rId2" Type="http://schemas.openxmlformats.org/officeDocument/2006/relationships/image" Target="../media/image48.png"/><Relationship Id="rId16" Type="http://schemas.openxmlformats.org/officeDocument/2006/relationships/image" Target="../media/image15.png"/><Relationship Id="rId20" Type="http://schemas.openxmlformats.org/officeDocument/2006/relationships/image" Target="../media/image50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11" Type="http://schemas.openxmlformats.org/officeDocument/2006/relationships/image" Target="../media/image13.png"/><Relationship Id="rId5" Type="http://schemas.openxmlformats.org/officeDocument/2006/relationships/image" Target="../media/image9.png"/><Relationship Id="rId15" Type="http://schemas.openxmlformats.org/officeDocument/2006/relationships/image" Target="../media/image17.png"/><Relationship Id="rId23" Type="http://schemas.microsoft.com/office/2007/relationships/hdphoto" Target="../media/hdphoto4.wdp"/><Relationship Id="rId10" Type="http://schemas.openxmlformats.org/officeDocument/2006/relationships/image" Target="../media/image12.png"/><Relationship Id="rId19" Type="http://schemas.microsoft.com/office/2007/relationships/hdphoto" Target="../media/hdphoto16.wdp"/><Relationship Id="rId4" Type="http://schemas.openxmlformats.org/officeDocument/2006/relationships/image" Target="../media/image8.png"/><Relationship Id="rId9" Type="http://schemas.microsoft.com/office/2007/relationships/hdphoto" Target="../media/hdphoto1.wdp"/><Relationship Id="rId14" Type="http://schemas.openxmlformats.org/officeDocument/2006/relationships/image" Target="../media/image3.emf"/><Relationship Id="rId22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3" Type="http://schemas.openxmlformats.org/officeDocument/2006/relationships/image" Target="../media/image8.png"/><Relationship Id="rId7" Type="http://schemas.openxmlformats.org/officeDocument/2006/relationships/image" Target="../media/image15.png"/><Relationship Id="rId12" Type="http://schemas.microsoft.com/office/2007/relationships/hdphoto" Target="../media/hdphoto17.wdp"/><Relationship Id="rId2" Type="http://schemas.openxmlformats.org/officeDocument/2006/relationships/image" Target="../media/image7.png"/><Relationship Id="rId1" Type="http://schemas.openxmlformats.org/officeDocument/2006/relationships/image" Target="../media/image51.png"/><Relationship Id="rId6" Type="http://schemas.openxmlformats.org/officeDocument/2006/relationships/image" Target="../media/image28.png"/><Relationship Id="rId11" Type="http://schemas.openxmlformats.org/officeDocument/2006/relationships/image" Target="../media/image50.png"/><Relationship Id="rId5" Type="http://schemas.openxmlformats.org/officeDocument/2006/relationships/image" Target="../media/image10.png"/><Relationship Id="rId10" Type="http://schemas.microsoft.com/office/2007/relationships/hdphoto" Target="../media/hdphoto16.wdp"/><Relationship Id="rId4" Type="http://schemas.openxmlformats.org/officeDocument/2006/relationships/image" Target="../media/image9.png"/><Relationship Id="rId9" Type="http://schemas.openxmlformats.org/officeDocument/2006/relationships/image" Target="../media/image49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8</xdr:row>
      <xdr:rowOff>9525</xdr:rowOff>
    </xdr:from>
    <xdr:to>
      <xdr:col>7</xdr:col>
      <xdr:colOff>190500</xdr:colOff>
      <xdr:row>8</xdr:row>
      <xdr:rowOff>200025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66825" y="1685925"/>
          <a:ext cx="200025" cy="1905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</xdr:row>
      <xdr:rowOff>114301</xdr:rowOff>
    </xdr:from>
    <xdr:to>
      <xdr:col>22</xdr:col>
      <xdr:colOff>66675</xdr:colOff>
      <xdr:row>4</xdr:row>
      <xdr:rowOff>9526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rot="5400000" flipH="1" flipV="1">
          <a:off x="4181475" y="762001"/>
          <a:ext cx="104775" cy="66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3</xdr:row>
      <xdr:rowOff>114299</xdr:rowOff>
    </xdr:from>
    <xdr:to>
      <xdr:col>22</xdr:col>
      <xdr:colOff>190500</xdr:colOff>
      <xdr:row>9</xdr:row>
      <xdr:rowOff>9524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rot="16200000" flipH="1">
          <a:off x="3752850" y="1257299"/>
          <a:ext cx="1152525" cy="123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1095375</xdr:colOff>
      <xdr:row>5</xdr:row>
      <xdr:rowOff>0</xdr:rowOff>
    </xdr:from>
    <xdr:to>
      <xdr:col>13</xdr:col>
      <xdr:colOff>334203</xdr:colOff>
      <xdr:row>24</xdr:row>
      <xdr:rowOff>38514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1047750"/>
          <a:ext cx="1677228" cy="4200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561975</xdr:colOff>
          <xdr:row>5</xdr:row>
          <xdr:rowOff>57150</xdr:rowOff>
        </xdr:from>
        <xdr:to>
          <xdr:col>11</xdr:col>
          <xdr:colOff>1000125</xdr:colOff>
          <xdr:row>24</xdr:row>
          <xdr:rowOff>57150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:$I$24" spid="_x0000_s6029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839200" y="1104900"/>
              <a:ext cx="1657350" cy="4162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5</xdr:row>
          <xdr:rowOff>28575</xdr:rowOff>
        </xdr:from>
        <xdr:to>
          <xdr:col>10</xdr:col>
          <xdr:colOff>485775</xdr:colOff>
          <xdr:row>24</xdr:row>
          <xdr:rowOff>28575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6:$I$24" spid="_x0000_s6029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105650" y="1076325"/>
              <a:ext cx="1657350" cy="4162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276520</xdr:colOff>
      <xdr:row>2</xdr:row>
      <xdr:rowOff>69621</xdr:rowOff>
    </xdr:from>
    <xdr:to>
      <xdr:col>41</xdr:col>
      <xdr:colOff>543220</xdr:colOff>
      <xdr:row>6</xdr:row>
      <xdr:rowOff>192046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4A7A34-406D-4D22-AE39-F6E24498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70" y="812571"/>
          <a:ext cx="952500" cy="96062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263829</xdr:colOff>
      <xdr:row>1</xdr:row>
      <xdr:rowOff>213854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F92626B-7830-4FBD-9B30-909C1446AA4B}"/>
            </a:ext>
          </a:extLst>
        </xdr:cNvPr>
        <xdr:cNvGrpSpPr/>
      </xdr:nvGrpSpPr>
      <xdr:grpSpPr>
        <a:xfrm>
          <a:off x="7572375" y="223838"/>
          <a:ext cx="1292529" cy="213854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290D2A0D-B64E-40DE-A998-E7F43204011F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39B7E967-BB01-469F-A420-9679741855CB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2026. 11.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25</xdr:col>
      <xdr:colOff>281609</xdr:colOff>
      <xdr:row>32</xdr:row>
      <xdr:rowOff>175898</xdr:rowOff>
    </xdr:from>
    <xdr:to>
      <xdr:col>28</xdr:col>
      <xdr:colOff>112642</xdr:colOff>
      <xdr:row>36</xdr:row>
      <xdr:rowOff>135574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0DA9CC1-559E-4C0C-A179-376CE58A7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7239" y="8036094"/>
          <a:ext cx="866360" cy="870763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3</xdr:row>
      <xdr:rowOff>57150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D88B7E35-61ED-49EB-91EB-9C3E3A3B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4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D8BBBFA9-69AC-4454-A75F-45DA8F82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4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58C020D0-6AFF-46D0-B5CB-C0A1EF70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4</xdr:row>
      <xdr:rowOff>96930</xdr:rowOff>
    </xdr:from>
    <xdr:to>
      <xdr:col>29</xdr:col>
      <xdr:colOff>330700</xdr:colOff>
      <xdr:row>5</xdr:row>
      <xdr:rowOff>150718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D18ACED-F17B-497D-9D6D-3037C93E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8</xdr:row>
      <xdr:rowOff>160269</xdr:rowOff>
    </xdr:from>
    <xdr:to>
      <xdr:col>35</xdr:col>
      <xdr:colOff>122583</xdr:colOff>
      <xdr:row>9</xdr:row>
      <xdr:rowOff>347455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E559F38-F13C-4EAD-ABFB-9375C9B93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055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306870</xdr:colOff>
      <xdr:row>32</xdr:row>
      <xdr:rowOff>80340</xdr:rowOff>
    </xdr:from>
    <xdr:to>
      <xdr:col>24</xdr:col>
      <xdr:colOff>163330</xdr:colOff>
      <xdr:row>36</xdr:row>
      <xdr:rowOff>83368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20C9B1A-9782-48E9-82ED-CED64B25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54153" y="7940536"/>
          <a:ext cx="875220" cy="914115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4</xdr:row>
      <xdr:rowOff>9524</xdr:rowOff>
    </xdr:from>
    <xdr:to>
      <xdr:col>31</xdr:col>
      <xdr:colOff>323850</xdr:colOff>
      <xdr:row>5</xdr:row>
      <xdr:rowOff>168555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377B542-5AAE-42B2-9916-3487F50A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9</xdr:row>
      <xdr:rowOff>0</xdr:rowOff>
    </xdr:from>
    <xdr:to>
      <xdr:col>24</xdr:col>
      <xdr:colOff>165981</xdr:colOff>
      <xdr:row>9</xdr:row>
      <xdr:rowOff>275190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7AB99F0-E4F7-4107-B1B9-54E5347795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94372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3</xdr:row>
      <xdr:rowOff>190499</xdr:rowOff>
    </xdr:from>
    <xdr:to>
      <xdr:col>33</xdr:col>
      <xdr:colOff>301692</xdr:colOff>
      <xdr:row>6</xdr:row>
      <xdr:rowOff>13137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3ACD285F-EDA3-4539-88B5-850C75DC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8</xdr:row>
      <xdr:rowOff>137948</xdr:rowOff>
    </xdr:from>
    <xdr:to>
      <xdr:col>34</xdr:col>
      <xdr:colOff>15108</xdr:colOff>
      <xdr:row>9</xdr:row>
      <xdr:rowOff>328449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87157B26-B617-42A5-B598-6B6159D0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399722</xdr:colOff>
      <xdr:row>11</xdr:row>
      <xdr:rowOff>123497</xdr:rowOff>
    </xdr:from>
    <xdr:to>
      <xdr:col>42</xdr:col>
      <xdr:colOff>528250</xdr:colOff>
      <xdr:row>13</xdr:row>
      <xdr:rowOff>68914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DAD5003-0EBC-4A30-991D-16B3848D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96972" y="30381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41</xdr:col>
      <xdr:colOff>29232</xdr:colOff>
      <xdr:row>9</xdr:row>
      <xdr:rowOff>313011</xdr:rowOff>
    </xdr:from>
    <xdr:to>
      <xdr:col>42</xdr:col>
      <xdr:colOff>156446</xdr:colOff>
      <xdr:row>11</xdr:row>
      <xdr:rowOff>10778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A41E5A0B-978F-42D9-A614-0ECF387E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6482" y="2522811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287285</xdr:colOff>
      <xdr:row>5</xdr:row>
      <xdr:rowOff>155739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1F41FC8-F549-4540-9D14-6D40961A2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5490" y="1148892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3</xdr:row>
      <xdr:rowOff>196392</xdr:rowOff>
    </xdr:from>
    <xdr:to>
      <xdr:col>37</xdr:col>
      <xdr:colOff>613559</xdr:colOff>
      <xdr:row>5</xdr:row>
      <xdr:rowOff>203069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708EFD53-70A4-41CF-AFDC-CF0472EF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3918" y="1139072"/>
          <a:ext cx="584100" cy="419100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577850</xdr:colOff>
      <xdr:row>5</xdr:row>
      <xdr:rowOff>165264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3484CD91-51FB-4945-BE44-C163B1829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088" y="1148892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4</xdr:row>
      <xdr:rowOff>39868</xdr:rowOff>
    </xdr:from>
    <xdr:to>
      <xdr:col>38</xdr:col>
      <xdr:colOff>647700</xdr:colOff>
      <xdr:row>5</xdr:row>
      <xdr:rowOff>174074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5FCB053-3974-43ED-B774-69A18D71F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114300</xdr:colOff>
      <xdr:row>8</xdr:row>
      <xdr:rowOff>76200</xdr:rowOff>
    </xdr:from>
    <xdr:to>
      <xdr:col>25</xdr:col>
      <xdr:colOff>324913</xdr:colOff>
      <xdr:row>9</xdr:row>
      <xdr:rowOff>306265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AA9DC4BB-4035-43D8-A5C4-D1503ED9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72475" y="2076450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257175</xdr:colOff>
      <xdr:row>33</xdr:row>
      <xdr:rowOff>47625</xdr:rowOff>
    </xdr:from>
    <xdr:to>
      <xdr:col>19</xdr:col>
      <xdr:colOff>810688</xdr:colOff>
      <xdr:row>35</xdr:row>
      <xdr:rowOff>49090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36E533A0-16F9-4255-BFBA-D4C5D191C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5525" y="8191500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314325</xdr:colOff>
      <xdr:row>18</xdr:row>
      <xdr:rowOff>133350</xdr:rowOff>
    </xdr:from>
    <xdr:to>
      <xdr:col>19</xdr:col>
      <xdr:colOff>886660</xdr:colOff>
      <xdr:row>20</xdr:row>
      <xdr:rowOff>117913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6AD232F1-1FDB-4394-9538-7673112B5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2675" y="4648200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19</xdr:col>
      <xdr:colOff>247650</xdr:colOff>
      <xdr:row>17</xdr:row>
      <xdr:rowOff>114300</xdr:rowOff>
    </xdr:from>
    <xdr:ext cx="676275" cy="457707"/>
    <xdr:pic>
      <xdr:nvPicPr>
        <xdr:cNvPr id="17" name="그림 16">
          <a:extLst>
            <a:ext uri="{FF2B5EF4-FFF2-40B4-BE49-F238E27FC236}">
              <a16:creationId xmlns:a16="http://schemas.microsoft.com/office/drawing/2014/main" id="{9AD5953A-0D38-418A-8BD9-78E6DB30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4400550"/>
          <a:ext cx="676275" cy="45770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219075</xdr:colOff>
      <xdr:row>7</xdr:row>
      <xdr:rowOff>133350</xdr:rowOff>
    </xdr:from>
    <xdr:to>
      <xdr:col>38</xdr:col>
      <xdr:colOff>485775</xdr:colOff>
      <xdr:row>10</xdr:row>
      <xdr:rowOff>195286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E63087F-D225-4AF6-920D-2F2A1F2DB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73125" y="1924050"/>
          <a:ext cx="952500" cy="957286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2</xdr:row>
      <xdr:rowOff>0</xdr:rowOff>
    </xdr:from>
    <xdr:to>
      <xdr:col>25</xdr:col>
      <xdr:colOff>263829</xdr:colOff>
      <xdr:row>3</xdr:row>
      <xdr:rowOff>4304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798AE8B-04A5-4940-A4BA-26040422142A}"/>
            </a:ext>
          </a:extLst>
        </xdr:cNvPr>
        <xdr:cNvGrpSpPr/>
      </xdr:nvGrpSpPr>
      <xdr:grpSpPr>
        <a:xfrm>
          <a:off x="7572375" y="738188"/>
          <a:ext cx="1292529" cy="218616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F97C2287-0DE7-4BBD-A69C-E9E72755B30F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5F4A2AB9-874A-4DAF-AF8B-F442EC4B6F0B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2026. 11.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23</xdr:col>
      <xdr:colOff>104776</xdr:colOff>
      <xdr:row>76</xdr:row>
      <xdr:rowOff>13973</xdr:rowOff>
    </xdr:from>
    <xdr:to>
      <xdr:col>25</xdr:col>
      <xdr:colOff>295275</xdr:colOff>
      <xdr:row>80</xdr:row>
      <xdr:rowOff>161250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10EB26D-F037-4FD6-B046-94738ED1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1" y="19492598"/>
          <a:ext cx="876299" cy="880702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4</xdr:row>
      <xdr:rowOff>57150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61141F00-BAA9-43FA-B79E-89BE98A5B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5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981BDCCC-B490-434F-A652-FE4385CE5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5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6C8E3CAD-A4F2-44E4-BEFD-ACA13B5A0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5</xdr:row>
      <xdr:rowOff>96930</xdr:rowOff>
    </xdr:from>
    <xdr:to>
      <xdr:col>29</xdr:col>
      <xdr:colOff>330700</xdr:colOff>
      <xdr:row>6</xdr:row>
      <xdr:rowOff>150718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A0B97A1-D6C9-4B44-BEC0-4788C065C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20</xdr:col>
      <xdr:colOff>359879</xdr:colOff>
      <xdr:row>75</xdr:row>
      <xdr:rowOff>42656</xdr:rowOff>
    </xdr:from>
    <xdr:to>
      <xdr:col>23</xdr:col>
      <xdr:colOff>127301</xdr:colOff>
      <xdr:row>80</xdr:row>
      <xdr:rowOff>35330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A96DF76-57A9-4856-BCE3-93F608CF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60729" y="19330781"/>
          <a:ext cx="881847" cy="916599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5</xdr:row>
      <xdr:rowOff>9524</xdr:rowOff>
    </xdr:from>
    <xdr:to>
      <xdr:col>31</xdr:col>
      <xdr:colOff>323850</xdr:colOff>
      <xdr:row>6</xdr:row>
      <xdr:rowOff>168555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915C58C-CA93-401E-A987-27979C9AE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9</xdr:row>
      <xdr:rowOff>142875</xdr:rowOff>
    </xdr:from>
    <xdr:to>
      <xdr:col>24</xdr:col>
      <xdr:colOff>213606</xdr:colOff>
      <xdr:row>9</xdr:row>
      <xdr:rowOff>418065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37C1F3F-5B03-4579-B1EE-50F598E796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biLevel thresh="75000"/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7620000" y="2352675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4</xdr:row>
      <xdr:rowOff>190499</xdr:rowOff>
    </xdr:from>
    <xdr:to>
      <xdr:col>33</xdr:col>
      <xdr:colOff>301692</xdr:colOff>
      <xdr:row>7</xdr:row>
      <xdr:rowOff>13137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CD2D13B-FD00-46C9-AF0A-BD39CF637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9</xdr:row>
      <xdr:rowOff>137948</xdr:rowOff>
    </xdr:from>
    <xdr:to>
      <xdr:col>34</xdr:col>
      <xdr:colOff>15108</xdr:colOff>
      <xdr:row>10</xdr:row>
      <xdr:rowOff>61749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467F295-7753-41EF-A744-EC996656D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390197</xdr:colOff>
      <xdr:row>14</xdr:row>
      <xdr:rowOff>171122</xdr:rowOff>
    </xdr:from>
    <xdr:to>
      <xdr:col>40</xdr:col>
      <xdr:colOff>518725</xdr:colOff>
      <xdr:row>16</xdr:row>
      <xdr:rowOff>116539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4D3B8D9F-2C41-4922-A06C-3B15079C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15847" y="3771572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39</xdr:col>
      <xdr:colOff>248307</xdr:colOff>
      <xdr:row>12</xdr:row>
      <xdr:rowOff>93936</xdr:rowOff>
    </xdr:from>
    <xdr:to>
      <xdr:col>40</xdr:col>
      <xdr:colOff>375521</xdr:colOff>
      <xdr:row>14</xdr:row>
      <xdr:rowOff>39353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335CAA6-4488-47CD-B6D3-7A2ABAA7A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73957" y="323718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9</xdr:row>
      <xdr:rowOff>160269</xdr:rowOff>
    </xdr:from>
    <xdr:to>
      <xdr:col>35</xdr:col>
      <xdr:colOff>122583</xdr:colOff>
      <xdr:row>10</xdr:row>
      <xdr:rowOff>80755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FC9D0994-30B2-4A73-9218-065E4A3D2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9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287285</xdr:colOff>
      <xdr:row>6</xdr:row>
      <xdr:rowOff>155739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1A89556-3B9F-44BB-8EAE-63A067B5F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162050"/>
          <a:ext cx="601610" cy="3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4</xdr:row>
      <xdr:rowOff>196392</xdr:rowOff>
    </xdr:from>
    <xdr:to>
      <xdr:col>37</xdr:col>
      <xdr:colOff>613559</xdr:colOff>
      <xdr:row>6</xdr:row>
      <xdr:rowOff>203069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BB4C4A3F-0075-49CA-8FC8-FCE801F52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509" y="1148892"/>
          <a:ext cx="584100" cy="4257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36</xdr:col>
      <xdr:colOff>577850</xdr:colOff>
      <xdr:row>6</xdr:row>
      <xdr:rowOff>165264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6DD4022E-5B13-482D-97F3-3B838E056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162050"/>
          <a:ext cx="577850" cy="37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5</xdr:row>
      <xdr:rowOff>39868</xdr:rowOff>
    </xdr:from>
    <xdr:to>
      <xdr:col>38</xdr:col>
      <xdr:colOff>647700</xdr:colOff>
      <xdr:row>6</xdr:row>
      <xdr:rowOff>174074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405A22A-63F2-41C1-A0A4-CEEA4D99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95250</xdr:colOff>
      <xdr:row>9</xdr:row>
      <xdr:rowOff>123825</xdr:rowOff>
    </xdr:from>
    <xdr:to>
      <xdr:col>25</xdr:col>
      <xdr:colOff>305863</xdr:colOff>
      <xdr:row>10</xdr:row>
      <xdr:rowOff>87190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23CD075-24F0-43A0-AE44-44A84F28C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53425" y="233362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238125</xdr:colOff>
      <xdr:row>70</xdr:row>
      <xdr:rowOff>57150</xdr:rowOff>
    </xdr:from>
    <xdr:to>
      <xdr:col>19</xdr:col>
      <xdr:colOff>791638</xdr:colOff>
      <xdr:row>72</xdr:row>
      <xdr:rowOff>58615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0A0FE38-9862-4BF0-B8C8-CB118B536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6475" y="1831657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323850</xdr:colOff>
      <xdr:row>18</xdr:row>
      <xdr:rowOff>152400</xdr:rowOff>
    </xdr:from>
    <xdr:to>
      <xdr:col>19</xdr:col>
      <xdr:colOff>896185</xdr:colOff>
      <xdr:row>20</xdr:row>
      <xdr:rowOff>136963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F9992D5D-C8F8-412B-A389-80C803506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2200" y="4667250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19</xdr:col>
      <xdr:colOff>219075</xdr:colOff>
      <xdr:row>17</xdr:row>
      <xdr:rowOff>95250</xdr:rowOff>
    </xdr:from>
    <xdr:ext cx="676275" cy="457707"/>
    <xdr:pic>
      <xdr:nvPicPr>
        <xdr:cNvPr id="12" name="그림 11">
          <a:extLst>
            <a:ext uri="{FF2B5EF4-FFF2-40B4-BE49-F238E27FC236}">
              <a16:creationId xmlns:a16="http://schemas.microsoft.com/office/drawing/2014/main" id="{01CA6448-E286-410E-B94A-39391E75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381500"/>
          <a:ext cx="676275" cy="45770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276520</xdr:colOff>
      <xdr:row>2</xdr:row>
      <xdr:rowOff>69621</xdr:rowOff>
    </xdr:from>
    <xdr:to>
      <xdr:col>41</xdr:col>
      <xdr:colOff>543220</xdr:colOff>
      <xdr:row>6</xdr:row>
      <xdr:rowOff>192046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19EFDD6-8E60-4AB8-A3EF-D0CE4660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7970" y="812571"/>
          <a:ext cx="952500" cy="960625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25</xdr:col>
      <xdr:colOff>263829</xdr:colOff>
      <xdr:row>1</xdr:row>
      <xdr:rowOff>213854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4B01DEF-2ACA-4ACC-82B8-BC8943A733A6}"/>
            </a:ext>
          </a:extLst>
        </xdr:cNvPr>
        <xdr:cNvGrpSpPr/>
      </xdr:nvGrpSpPr>
      <xdr:grpSpPr>
        <a:xfrm>
          <a:off x="7572375" y="223838"/>
          <a:ext cx="1292529" cy="213854"/>
          <a:chOff x="5594120" y="183957"/>
          <a:chExt cx="1292529" cy="213854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1E075D3C-51C8-4853-80A0-6B0375C423B5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D7F8DDB1-F212-479B-9541-AD4B7DE1E7FF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25</xdr:col>
      <xdr:colOff>281609</xdr:colOff>
      <xdr:row>34</xdr:row>
      <xdr:rowOff>0</xdr:rowOff>
    </xdr:from>
    <xdr:to>
      <xdr:col>28</xdr:col>
      <xdr:colOff>112642</xdr:colOff>
      <xdr:row>38</xdr:row>
      <xdr:rowOff>45401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4103711-E5E0-4EBC-8985-09B06289E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684" y="8043548"/>
          <a:ext cx="869258" cy="883601"/>
        </a:xfrm>
        <a:prstGeom prst="rect">
          <a:avLst/>
        </a:prstGeom>
      </xdr:spPr>
    </xdr:pic>
    <xdr:clientData/>
  </xdr:twoCellAnchor>
  <xdr:oneCellAnchor>
    <xdr:from>
      <xdr:col>25</xdr:col>
      <xdr:colOff>228600</xdr:colOff>
      <xdr:row>3</xdr:row>
      <xdr:rowOff>57150</xdr:rowOff>
    </xdr:from>
    <xdr:ext cx="985142" cy="666750"/>
    <xdr:pic>
      <xdr:nvPicPr>
        <xdr:cNvPr id="7" name="그림 6">
          <a:extLst>
            <a:ext uri="{FF2B5EF4-FFF2-40B4-BE49-F238E27FC236}">
              <a16:creationId xmlns:a16="http://schemas.microsoft.com/office/drawing/2014/main" id="{64C33D79-CD6C-46B9-ACF3-08BE868B2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5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24</xdr:col>
      <xdr:colOff>61704</xdr:colOff>
      <xdr:row>4</xdr:row>
      <xdr:rowOff>77443</xdr:rowOff>
    </xdr:from>
    <xdr:ext cx="596520" cy="258849"/>
    <xdr:pic>
      <xdr:nvPicPr>
        <xdr:cNvPr id="8" name="그림 7">
          <a:extLst>
            <a:ext uri="{FF2B5EF4-FFF2-40B4-BE49-F238E27FC236}">
              <a16:creationId xmlns:a16="http://schemas.microsoft.com/office/drawing/2014/main" id="{3F8237AA-024C-484C-BC05-F5279A519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9879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22</xdr:col>
      <xdr:colOff>85311</xdr:colOff>
      <xdr:row>4</xdr:row>
      <xdr:rowOff>22160</xdr:rowOff>
    </xdr:from>
    <xdr:ext cx="492913" cy="375519"/>
    <xdr:pic>
      <xdr:nvPicPr>
        <xdr:cNvPr id="9" name="그림 8">
          <a:extLst>
            <a:ext uri="{FF2B5EF4-FFF2-40B4-BE49-F238E27FC236}">
              <a16:creationId xmlns:a16="http://schemas.microsoft.com/office/drawing/2014/main" id="{80BD7F96-3B91-4D6B-AE2B-FADA1385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7686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27</xdr:col>
      <xdr:colOff>335055</xdr:colOff>
      <xdr:row>4</xdr:row>
      <xdr:rowOff>96930</xdr:rowOff>
    </xdr:from>
    <xdr:to>
      <xdr:col>29</xdr:col>
      <xdr:colOff>330700</xdr:colOff>
      <xdr:row>5</xdr:row>
      <xdr:rowOff>150718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7EE732F-8205-432E-BF76-E04EBE8D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1930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34</xdr:col>
      <xdr:colOff>140805</xdr:colOff>
      <xdr:row>8</xdr:row>
      <xdr:rowOff>160269</xdr:rowOff>
    </xdr:from>
    <xdr:to>
      <xdr:col>35</xdr:col>
      <xdr:colOff>122583</xdr:colOff>
      <xdr:row>9</xdr:row>
      <xdr:rowOff>347455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9769ED5-97B0-4674-95CA-58934D77E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89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306870</xdr:colOff>
      <xdr:row>34</xdr:row>
      <xdr:rowOff>0</xdr:rowOff>
    </xdr:from>
    <xdr:to>
      <xdr:col>24</xdr:col>
      <xdr:colOff>163330</xdr:colOff>
      <xdr:row>38</xdr:row>
      <xdr:rowOff>88753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40B1D86-9C71-4E6D-B659-F8E5BCC2D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536345" y="7947990"/>
          <a:ext cx="885160" cy="926953"/>
        </a:xfrm>
        <a:prstGeom prst="rect">
          <a:avLst/>
        </a:prstGeom>
      </xdr:spPr>
    </xdr:pic>
    <xdr:clientData/>
  </xdr:twoCellAnchor>
  <xdr:twoCellAnchor editAs="oneCell">
    <xdr:from>
      <xdr:col>29</xdr:col>
      <xdr:colOff>333375</xdr:colOff>
      <xdr:row>4</xdr:row>
      <xdr:rowOff>9524</xdr:rowOff>
    </xdr:from>
    <xdr:to>
      <xdr:col>31</xdr:col>
      <xdr:colOff>323850</xdr:colOff>
      <xdr:row>5</xdr:row>
      <xdr:rowOff>168555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700B600-BE51-419C-9184-3BE75EB58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557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21</xdr:col>
      <xdr:colOff>342900</xdr:colOff>
      <xdr:row>9</xdr:row>
      <xdr:rowOff>0</xdr:rowOff>
    </xdr:from>
    <xdr:to>
      <xdr:col>24</xdr:col>
      <xdr:colOff>165981</xdr:colOff>
      <xdr:row>9</xdr:row>
      <xdr:rowOff>275190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8657F0F-A992-4FC7-94A7-5EDB83269A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757237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32</xdr:col>
      <xdr:colOff>72257</xdr:colOff>
      <xdr:row>3</xdr:row>
      <xdr:rowOff>190499</xdr:rowOff>
    </xdr:from>
    <xdr:to>
      <xdr:col>33</xdr:col>
      <xdr:colOff>301692</xdr:colOff>
      <xdr:row>6</xdr:row>
      <xdr:rowOff>13137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5771EFE8-3266-4A87-8930-413F0408D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08315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31</xdr:col>
      <xdr:colOff>315784</xdr:colOff>
      <xdr:row>8</xdr:row>
      <xdr:rowOff>137948</xdr:rowOff>
    </xdr:from>
    <xdr:to>
      <xdr:col>34</xdr:col>
      <xdr:colOff>15108</xdr:colOff>
      <xdr:row>9</xdr:row>
      <xdr:rowOff>328449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3BB0C08-D7BF-43EB-B092-5F90F39C5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378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133022</xdr:colOff>
      <xdr:row>14</xdr:row>
      <xdr:rowOff>113972</xdr:rowOff>
    </xdr:from>
    <xdr:to>
      <xdr:col>40</xdr:col>
      <xdr:colOff>261550</xdr:colOff>
      <xdr:row>16</xdr:row>
      <xdr:rowOff>59389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6897125-12D9-40FF-B532-191514E5C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8672" y="3714422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39</xdr:col>
      <xdr:colOff>153057</xdr:colOff>
      <xdr:row>11</xdr:row>
      <xdr:rowOff>208236</xdr:rowOff>
    </xdr:from>
    <xdr:to>
      <xdr:col>40</xdr:col>
      <xdr:colOff>280271</xdr:colOff>
      <xdr:row>13</xdr:row>
      <xdr:rowOff>153653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839C8046-002D-420C-8561-9B9632EF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8707" y="312288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35</xdr:col>
      <xdr:colOff>287285</xdr:colOff>
      <xdr:row>5</xdr:row>
      <xdr:rowOff>155739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5234800-67F6-444C-8ADA-E4831A36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1162050"/>
          <a:ext cx="601610" cy="365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29459</xdr:colOff>
      <xdr:row>3</xdr:row>
      <xdr:rowOff>196392</xdr:rowOff>
    </xdr:from>
    <xdr:to>
      <xdr:col>37</xdr:col>
      <xdr:colOff>613559</xdr:colOff>
      <xdr:row>5</xdr:row>
      <xdr:rowOff>203069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9B1FCBD-1121-48B5-B426-B387A77E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3509" y="1148892"/>
          <a:ext cx="584100" cy="42577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36</xdr:col>
      <xdr:colOff>577850</xdr:colOff>
      <xdr:row>5</xdr:row>
      <xdr:rowOff>165264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D4FB0910-C964-4814-83EF-AB213C04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0" y="1162050"/>
          <a:ext cx="577850" cy="37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646425</xdr:colOff>
      <xdr:row>4</xdr:row>
      <xdr:rowOff>39868</xdr:rowOff>
    </xdr:from>
    <xdr:to>
      <xdr:col>38</xdr:col>
      <xdr:colOff>647700</xdr:colOff>
      <xdr:row>5</xdr:row>
      <xdr:rowOff>174074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4A777E23-687C-490F-84A7-1C33B3D8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0475" y="1201918"/>
          <a:ext cx="687075" cy="343756"/>
        </a:xfrm>
        <a:prstGeom prst="rect">
          <a:avLst/>
        </a:prstGeom>
      </xdr:spPr>
    </xdr:pic>
    <xdr:clientData/>
  </xdr:twoCellAnchor>
  <xdr:twoCellAnchor editAs="oneCell">
    <xdr:from>
      <xdr:col>24</xdr:col>
      <xdr:colOff>47625</xdr:colOff>
      <xdr:row>8</xdr:row>
      <xdr:rowOff>142875</xdr:rowOff>
    </xdr:from>
    <xdr:to>
      <xdr:col>25</xdr:col>
      <xdr:colOff>258238</xdr:colOff>
      <xdr:row>9</xdr:row>
      <xdr:rowOff>372940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A3DFBAD0-365C-42E7-BBD0-7953B7195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05800" y="2143125"/>
          <a:ext cx="553513" cy="439615"/>
        </a:xfrm>
        <a:prstGeom prst="rect">
          <a:avLst/>
        </a:prstGeom>
      </xdr:spPr>
    </xdr:pic>
    <xdr:clientData/>
  </xdr:twoCellAnchor>
  <xdr:twoCellAnchor editAs="oneCell">
    <xdr:from>
      <xdr:col>19</xdr:col>
      <xdr:colOff>266700</xdr:colOff>
      <xdr:row>34</xdr:row>
      <xdr:rowOff>38100</xdr:rowOff>
    </xdr:from>
    <xdr:to>
      <xdr:col>19</xdr:col>
      <xdr:colOff>820213</xdr:colOff>
      <xdr:row>36</xdr:row>
      <xdr:rowOff>39565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954D6EAA-E48C-4C8F-B691-1196217EA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BEBA8EAE-BF5A-486C-A8C5-ECC9F3942E4B}">
              <a14:imgProps xmlns:a14="http://schemas.microsoft.com/office/drawing/2010/main">
                <a14:imgLayer r:embed="rId26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5050" y="8277225"/>
          <a:ext cx="553513" cy="439615"/>
        </a:xfrm>
        <a:prstGeom prst="rect">
          <a:avLst/>
        </a:prstGeom>
      </xdr:spPr>
    </xdr:pic>
    <xdr:clientData/>
  </xdr:twoCellAnchor>
  <xdr:oneCellAnchor>
    <xdr:from>
      <xdr:col>19</xdr:col>
      <xdr:colOff>228600</xdr:colOff>
      <xdr:row>19</xdr:row>
      <xdr:rowOff>75692</xdr:rowOff>
    </xdr:from>
    <xdr:ext cx="676275" cy="457707"/>
    <xdr:pic>
      <xdr:nvPicPr>
        <xdr:cNvPr id="19" name="그림 18">
          <a:extLst>
            <a:ext uri="{FF2B5EF4-FFF2-40B4-BE49-F238E27FC236}">
              <a16:creationId xmlns:a16="http://schemas.microsoft.com/office/drawing/2014/main" id="{6BF994B8-DA7A-4A3D-A86D-B05EFF707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950" y="4819142"/>
          <a:ext cx="676275" cy="457707"/>
        </a:xfrm>
        <a:prstGeom prst="rect">
          <a:avLst/>
        </a:prstGeom>
      </xdr:spPr>
    </xdr:pic>
    <xdr:clientData/>
  </xdr:oneCellAnchor>
  <xdr:twoCellAnchor editAs="oneCell">
    <xdr:from>
      <xdr:col>19</xdr:col>
      <xdr:colOff>352425</xdr:colOff>
      <xdr:row>20</xdr:row>
      <xdr:rowOff>104775</xdr:rowOff>
    </xdr:from>
    <xdr:to>
      <xdr:col>19</xdr:col>
      <xdr:colOff>924760</xdr:colOff>
      <xdr:row>22</xdr:row>
      <xdr:rowOff>89338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1EF1C0F4-BAF5-4928-AA6C-86D0E77B8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0775" y="5076825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36203E-D2A3-4247-8929-51F35FAF6ED3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D065FA5-86A9-4FD0-8BF5-4A35BB917EB4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4" name="Oval 3">
          <a:extLst>
            <a:ext uri="{FF2B5EF4-FFF2-40B4-BE49-F238E27FC236}">
              <a16:creationId xmlns:a16="http://schemas.microsoft.com/office/drawing/2014/main" id="{C1115757-E3BA-4420-A9F9-7398483F827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30</xdr:col>
      <xdr:colOff>203338</xdr:colOff>
      <xdr:row>9</xdr:row>
      <xdr:rowOff>262558</xdr:rowOff>
    </xdr:from>
    <xdr:ext cx="985142" cy="666750"/>
    <xdr:pic>
      <xdr:nvPicPr>
        <xdr:cNvPr id="18" name="그림 17">
          <a:extLst>
            <a:ext uri="{FF2B5EF4-FFF2-40B4-BE49-F238E27FC236}">
              <a16:creationId xmlns:a16="http://schemas.microsoft.com/office/drawing/2014/main" id="{E7005107-1493-4719-A70B-866D3040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4613" y="2691433"/>
          <a:ext cx="985142" cy="666750"/>
        </a:xfrm>
        <a:prstGeom prst="rect">
          <a:avLst/>
        </a:prstGeom>
      </xdr:spPr>
    </xdr:pic>
    <xdr:clientData/>
  </xdr:oneCellAnchor>
  <xdr:oneCellAnchor>
    <xdr:from>
      <xdr:col>32</xdr:col>
      <xdr:colOff>341266</xdr:colOff>
      <xdr:row>10</xdr:row>
      <xdr:rowOff>230280</xdr:rowOff>
    </xdr:from>
    <xdr:ext cx="690970" cy="263338"/>
    <xdr:pic>
      <xdr:nvPicPr>
        <xdr:cNvPr id="20" name="그림 19">
          <a:extLst>
            <a:ext uri="{FF2B5EF4-FFF2-40B4-BE49-F238E27FC236}">
              <a16:creationId xmlns:a16="http://schemas.microsoft.com/office/drawing/2014/main" id="{40E0FFAB-EA3C-4AB4-8FBA-5509D143A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6441" y="2963955"/>
          <a:ext cx="690970" cy="263338"/>
        </a:xfrm>
        <a:prstGeom prst="rect">
          <a:avLst/>
        </a:prstGeom>
      </xdr:spPr>
    </xdr:pic>
    <xdr:clientData/>
  </xdr:oneCellAnchor>
  <xdr:oneCellAnchor>
    <xdr:from>
      <xdr:col>35</xdr:col>
      <xdr:colOff>47625</xdr:colOff>
      <xdr:row>10</xdr:row>
      <xdr:rowOff>123824</xdr:rowOff>
    </xdr:from>
    <xdr:ext cx="676275" cy="368581"/>
    <xdr:pic>
      <xdr:nvPicPr>
        <xdr:cNvPr id="22" name="그림 21">
          <a:extLst>
            <a:ext uri="{FF2B5EF4-FFF2-40B4-BE49-F238E27FC236}">
              <a16:creationId xmlns:a16="http://schemas.microsoft.com/office/drawing/2014/main" id="{9397B9A1-DA5B-4F9B-8BAC-9C05E3F1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857499"/>
          <a:ext cx="676275" cy="368581"/>
        </a:xfrm>
        <a:prstGeom prst="rect">
          <a:avLst/>
        </a:prstGeom>
      </xdr:spPr>
    </xdr:pic>
    <xdr:clientData/>
  </xdr:oneCellAnchor>
  <xdr:oneCellAnchor>
    <xdr:from>
      <xdr:col>37</xdr:col>
      <xdr:colOff>104559</xdr:colOff>
      <xdr:row>10</xdr:row>
      <xdr:rowOff>89037</xdr:rowOff>
    </xdr:from>
    <xdr:ext cx="572335" cy="450874"/>
    <xdr:pic>
      <xdr:nvPicPr>
        <xdr:cNvPr id="23" name="Picture 1">
          <a:extLst>
            <a:ext uri="{FF2B5EF4-FFF2-40B4-BE49-F238E27FC236}">
              <a16:creationId xmlns:a16="http://schemas.microsoft.com/office/drawing/2014/main" id="{E1B86685-4077-4F91-9A49-E6A441DA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277509" y="2822712"/>
          <a:ext cx="572335" cy="45087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27</xdr:col>
      <xdr:colOff>28575</xdr:colOff>
      <xdr:row>10</xdr:row>
      <xdr:rowOff>133350</xdr:rowOff>
    </xdr:from>
    <xdr:ext cx="492913" cy="375519"/>
    <xdr:pic>
      <xdr:nvPicPr>
        <xdr:cNvPr id="24" name="그림 23">
          <a:extLst>
            <a:ext uri="{FF2B5EF4-FFF2-40B4-BE49-F238E27FC236}">
              <a16:creationId xmlns:a16="http://schemas.microsoft.com/office/drawing/2014/main" id="{48C8809E-E667-4488-8857-1D1AA7956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0025" y="2867025"/>
          <a:ext cx="492913" cy="375519"/>
        </a:xfrm>
        <a:prstGeom prst="rect">
          <a:avLst/>
        </a:prstGeom>
      </xdr:spPr>
    </xdr:pic>
    <xdr:clientData/>
  </xdr:oneCellAnchor>
  <xdr:oneCellAnchor>
    <xdr:from>
      <xdr:col>29</xdr:col>
      <xdr:colOff>76200</xdr:colOff>
      <xdr:row>10</xdr:row>
      <xdr:rowOff>180975</xdr:rowOff>
    </xdr:from>
    <xdr:ext cx="596520" cy="258849"/>
    <xdr:pic>
      <xdr:nvPicPr>
        <xdr:cNvPr id="25" name="그림 24">
          <a:extLst>
            <a:ext uri="{FF2B5EF4-FFF2-40B4-BE49-F238E27FC236}">
              <a16:creationId xmlns:a16="http://schemas.microsoft.com/office/drawing/2014/main" id="{B9120AEA-2E09-43F3-9744-5571AD2AB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5" y="2914650"/>
          <a:ext cx="596520" cy="258849"/>
        </a:xfrm>
        <a:prstGeom prst="rect">
          <a:avLst/>
        </a:prstGeom>
      </xdr:spPr>
    </xdr:pic>
    <xdr:clientData/>
  </xdr:oneCellAnchor>
  <xdr:oneCellAnchor>
    <xdr:from>
      <xdr:col>26</xdr:col>
      <xdr:colOff>238125</xdr:colOff>
      <xdr:row>14</xdr:row>
      <xdr:rowOff>104775</xdr:rowOff>
    </xdr:from>
    <xdr:ext cx="601511" cy="361950"/>
    <xdr:pic>
      <xdr:nvPicPr>
        <xdr:cNvPr id="26" name="그림 25">
          <a:extLst>
            <a:ext uri="{FF2B5EF4-FFF2-40B4-BE49-F238E27FC236}">
              <a16:creationId xmlns:a16="http://schemas.microsoft.com/office/drawing/2014/main" id="{3C5F8B81-0F9B-42CD-91A6-0A1D6A100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3825" y="3752850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250825</xdr:colOff>
      <xdr:row>14</xdr:row>
      <xdr:rowOff>85725</xdr:rowOff>
    </xdr:from>
    <xdr:ext cx="577850" cy="371475"/>
    <xdr:pic>
      <xdr:nvPicPr>
        <xdr:cNvPr id="27" name="그림 26">
          <a:extLst>
            <a:ext uri="{FF2B5EF4-FFF2-40B4-BE49-F238E27FC236}">
              <a16:creationId xmlns:a16="http://schemas.microsoft.com/office/drawing/2014/main" id="{BAE9FCA4-0D04-4DB0-BB1D-4CB8B2E0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8025" y="3733800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0</xdr:colOff>
      <xdr:row>14</xdr:row>
      <xdr:rowOff>0</xdr:rowOff>
    </xdr:from>
    <xdr:ext cx="584100" cy="419100"/>
    <xdr:pic>
      <xdr:nvPicPr>
        <xdr:cNvPr id="28" name="그림 27">
          <a:extLst>
            <a:ext uri="{FF2B5EF4-FFF2-40B4-BE49-F238E27FC236}">
              <a16:creationId xmlns:a16="http://schemas.microsoft.com/office/drawing/2014/main" id="{3E245549-FBD5-45FE-A137-69A76991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450" y="3648075"/>
          <a:ext cx="584100" cy="419100"/>
        </a:xfrm>
        <a:prstGeom prst="rect">
          <a:avLst/>
        </a:prstGeom>
      </xdr:spPr>
    </xdr:pic>
    <xdr:clientData/>
  </xdr:oneCellAnchor>
  <xdr:twoCellAnchor editAs="oneCell">
    <xdr:from>
      <xdr:col>39</xdr:col>
      <xdr:colOff>28575</xdr:colOff>
      <xdr:row>10</xdr:row>
      <xdr:rowOff>142875</xdr:rowOff>
    </xdr:from>
    <xdr:to>
      <xdr:col>40</xdr:col>
      <xdr:colOff>353700</xdr:colOff>
      <xdr:row>11</xdr:row>
      <xdr:rowOff>181831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A40B8B8C-B730-41EA-8D43-AD7950A94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>
                      <a14:foregroundMark x1="23288" y1="27778" x2="23288" y2="27778"/>
                      <a14:foregroundMark x1="32192" y1="48611" x2="32192" y2="48611"/>
                      <a14:foregroundMark x1="27397" y1="76389" x2="27397" y2="76389"/>
                      <a14:foregroundMark x1="57534" y1="34722" x2="57534" y2="34722"/>
                      <a14:foregroundMark x1="66438" y1="62500" x2="66438" y2="62500"/>
                      <a14:foregroundMark x1="79452" y1="30556" x2="79452" y2="30556"/>
                      <a14:foregroundMark x1="82877" y1="72222" x2="82877" y2="72222"/>
                      <a14:foregroundMark x1="78767" y1="43056" x2="78767" y2="43056"/>
                      <a14:backgroundMark x1="65753" y1="66667" x2="65753" y2="66667"/>
                      <a14:backgroundMark x1="78767" y1="51389" x2="78767" y2="5138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2876550"/>
          <a:ext cx="687075" cy="343756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27F2023D-91BB-45F6-B57F-4ABF75378B0C}"/>
            </a:ext>
          </a:extLst>
        </xdr:cNvPr>
        <xdr:cNvSpPr>
          <a:spLocks noChangeArrowheads="1"/>
        </xdr:cNvSpPr>
      </xdr:nvSpPr>
      <xdr:spPr bwMode="auto">
        <a:xfrm>
          <a:off x="11325225" y="361950"/>
          <a:ext cx="1143000" cy="8572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8CCCE032-B293-4FCC-8412-842F7EDD3D8C}"/>
            </a:ext>
          </a:extLst>
        </xdr:cNvPr>
        <xdr:cNvSpPr>
          <a:spLocks noChangeArrowheads="1"/>
        </xdr:cNvSpPr>
      </xdr:nvSpPr>
      <xdr:spPr bwMode="auto">
        <a:xfrm>
          <a:off x="11334750" y="371475"/>
          <a:ext cx="1133475" cy="84772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41" name="Oval 3">
          <a:extLst>
            <a:ext uri="{FF2B5EF4-FFF2-40B4-BE49-F238E27FC236}">
              <a16:creationId xmlns:a16="http://schemas.microsoft.com/office/drawing/2014/main" id="{9EA1AFCC-D0C0-48AF-A610-3AC561F0C57F}"/>
            </a:ext>
          </a:extLst>
        </xdr:cNvPr>
        <xdr:cNvSpPr>
          <a:spLocks noChangeArrowheads="1"/>
        </xdr:cNvSpPr>
      </xdr:nvSpPr>
      <xdr:spPr bwMode="auto">
        <a:xfrm>
          <a:off x="11887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95250</xdr:colOff>
      <xdr:row>6</xdr:row>
      <xdr:rowOff>0</xdr:rowOff>
    </xdr:from>
    <xdr:to>
      <xdr:col>14</xdr:col>
      <xdr:colOff>159853</xdr:colOff>
      <xdr:row>6</xdr:row>
      <xdr:rowOff>75825</xdr:rowOff>
    </xdr:to>
    <xdr:sp macro="" textlink="">
      <xdr:nvSpPr>
        <xdr:cNvPr id="42" name="Oval 3">
          <a:extLst>
            <a:ext uri="{FF2B5EF4-FFF2-40B4-BE49-F238E27FC236}">
              <a16:creationId xmlns:a16="http://schemas.microsoft.com/office/drawing/2014/main" id="{FC5E2868-CF46-4A0F-B50E-1B3C460CE967}"/>
            </a:ext>
          </a:extLst>
        </xdr:cNvPr>
        <xdr:cNvSpPr>
          <a:spLocks noChangeArrowheads="1"/>
        </xdr:cNvSpPr>
      </xdr:nvSpPr>
      <xdr:spPr bwMode="auto">
        <a:xfrm>
          <a:off x="12268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43" name="Rectangle 1">
          <a:extLst>
            <a:ext uri="{FF2B5EF4-FFF2-40B4-BE49-F238E27FC236}">
              <a16:creationId xmlns:a16="http://schemas.microsoft.com/office/drawing/2014/main" id="{ABC4F6D3-B3B5-477E-A1AE-E9E38B6F7FB7}"/>
            </a:ext>
          </a:extLst>
        </xdr:cNvPr>
        <xdr:cNvSpPr>
          <a:spLocks noChangeArrowheads="1"/>
        </xdr:cNvSpPr>
      </xdr:nvSpPr>
      <xdr:spPr bwMode="auto">
        <a:xfrm>
          <a:off x="8982075" y="361950"/>
          <a:ext cx="1257300" cy="8572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567EB17C-6B78-4998-B875-1683E54136E4}"/>
            </a:ext>
          </a:extLst>
        </xdr:cNvPr>
        <xdr:cNvSpPr>
          <a:spLocks noChangeArrowheads="1"/>
        </xdr:cNvSpPr>
      </xdr:nvSpPr>
      <xdr:spPr bwMode="auto">
        <a:xfrm>
          <a:off x="8991600" y="371475"/>
          <a:ext cx="1247775" cy="84772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45" name="Oval 3">
          <a:extLst>
            <a:ext uri="{FF2B5EF4-FFF2-40B4-BE49-F238E27FC236}">
              <a16:creationId xmlns:a16="http://schemas.microsoft.com/office/drawing/2014/main" id="{9897A870-9B77-42B9-87B3-44E5DF42C94D}"/>
            </a:ext>
          </a:extLst>
        </xdr:cNvPr>
        <xdr:cNvSpPr>
          <a:spLocks noChangeArrowheads="1"/>
        </xdr:cNvSpPr>
      </xdr:nvSpPr>
      <xdr:spPr bwMode="auto">
        <a:xfrm>
          <a:off x="9601200" y="752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2" name="Rectangle 1">
          <a:extLst>
            <a:ext uri="{FF2B5EF4-FFF2-40B4-BE49-F238E27FC236}">
              <a16:creationId xmlns:a16="http://schemas.microsoft.com/office/drawing/2014/main" id="{9687C3D2-1049-4E85-BFED-DEAEABC8B77B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5F0CCC04-8D87-4DF9-B2CC-E83063E3C1E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323850</xdr:colOff>
      <xdr:row>5</xdr:row>
      <xdr:rowOff>266700</xdr:rowOff>
    </xdr:from>
    <xdr:to>
      <xdr:col>28</xdr:col>
      <xdr:colOff>64603</xdr:colOff>
      <xdr:row>6</xdr:row>
      <xdr:rowOff>75825</xdr:rowOff>
    </xdr:to>
    <xdr:sp macro="" textlink="">
      <xdr:nvSpPr>
        <xdr:cNvPr id="84" name="Oval 3">
          <a:extLst>
            <a:ext uri="{FF2B5EF4-FFF2-40B4-BE49-F238E27FC236}">
              <a16:creationId xmlns:a16="http://schemas.microsoft.com/office/drawing/2014/main" id="{DB70F1EB-2613-4BC7-BA38-0AB5AA7819F5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5" name="Rectangle 1">
          <a:extLst>
            <a:ext uri="{FF2B5EF4-FFF2-40B4-BE49-F238E27FC236}">
              <a16:creationId xmlns:a16="http://schemas.microsoft.com/office/drawing/2014/main" id="{631DEB0C-DB8E-4D70-AE16-98BA731DB5F4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585F7E65-FA35-45A7-B5DA-89D21E6568EB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323850</xdr:colOff>
      <xdr:row>5</xdr:row>
      <xdr:rowOff>266700</xdr:rowOff>
    </xdr:from>
    <xdr:to>
      <xdr:col>28</xdr:col>
      <xdr:colOff>64603</xdr:colOff>
      <xdr:row>6</xdr:row>
      <xdr:rowOff>75825</xdr:rowOff>
    </xdr:to>
    <xdr:sp macro="" textlink="">
      <xdr:nvSpPr>
        <xdr:cNvPr id="87" name="Oval 3">
          <a:extLst>
            <a:ext uri="{FF2B5EF4-FFF2-40B4-BE49-F238E27FC236}">
              <a16:creationId xmlns:a16="http://schemas.microsoft.com/office/drawing/2014/main" id="{96964E5B-1B9C-4561-A5E2-4DF52E94D77A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95250</xdr:colOff>
      <xdr:row>6</xdr:row>
      <xdr:rowOff>0</xdr:rowOff>
    </xdr:from>
    <xdr:to>
      <xdr:col>29</xdr:col>
      <xdr:colOff>159853</xdr:colOff>
      <xdr:row>6</xdr:row>
      <xdr:rowOff>75825</xdr:rowOff>
    </xdr:to>
    <xdr:sp macro="" textlink="">
      <xdr:nvSpPr>
        <xdr:cNvPr id="88" name="Oval 3">
          <a:extLst>
            <a:ext uri="{FF2B5EF4-FFF2-40B4-BE49-F238E27FC236}">
              <a16:creationId xmlns:a16="http://schemas.microsoft.com/office/drawing/2014/main" id="{409E1AAF-0BA0-4878-BDA5-B270CBB2DFB1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9525</xdr:colOff>
      <xdr:row>4</xdr:row>
      <xdr:rowOff>9525</xdr:rowOff>
    </xdr:from>
    <xdr:to>
      <xdr:col>30</xdr:col>
      <xdr:colOff>9525</xdr:colOff>
      <xdr:row>8</xdr:row>
      <xdr:rowOff>9525</xdr:rowOff>
    </xdr:to>
    <xdr:sp macro="" textlink="">
      <xdr:nvSpPr>
        <xdr:cNvPr id="89" name="Rectangle 1">
          <a:extLst>
            <a:ext uri="{FF2B5EF4-FFF2-40B4-BE49-F238E27FC236}">
              <a16:creationId xmlns:a16="http://schemas.microsoft.com/office/drawing/2014/main" id="{E784FAA0-9AE5-41A0-A972-B1F5FBAE4EAA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19050</xdr:colOff>
      <xdr:row>4</xdr:row>
      <xdr:rowOff>19050</xdr:rowOff>
    </xdr:from>
    <xdr:to>
      <xdr:col>30</xdr:col>
      <xdr:colOff>9525</xdr:colOff>
      <xdr:row>8</xdr:row>
      <xdr:rowOff>9525</xdr:rowOff>
    </xdr:to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2B1190C2-53AC-4CD8-870D-3762A0809D8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142875</xdr:colOff>
      <xdr:row>5</xdr:row>
      <xdr:rowOff>266700</xdr:rowOff>
    </xdr:from>
    <xdr:to>
      <xdr:col>29</xdr:col>
      <xdr:colOff>245578</xdr:colOff>
      <xdr:row>6</xdr:row>
      <xdr:rowOff>75825</xdr:rowOff>
    </xdr:to>
    <xdr:sp macro="" textlink="">
      <xdr:nvSpPr>
        <xdr:cNvPr id="91" name="Oval 3">
          <a:extLst>
            <a:ext uri="{FF2B5EF4-FFF2-40B4-BE49-F238E27FC236}">
              <a16:creationId xmlns:a16="http://schemas.microsoft.com/office/drawing/2014/main" id="{26775671-8DB3-4FAF-8C82-D8D75D70A16F}"/>
            </a:ext>
          </a:extLst>
        </xdr:cNvPr>
        <xdr:cNvSpPr>
          <a:spLocks noChangeArrowheads="1"/>
        </xdr:cNvSpPr>
      </xdr:nvSpPr>
      <xdr:spPr bwMode="auto">
        <a:xfrm>
          <a:off x="9982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2" name="Rectangle 1">
          <a:extLst>
            <a:ext uri="{FF2B5EF4-FFF2-40B4-BE49-F238E27FC236}">
              <a16:creationId xmlns:a16="http://schemas.microsoft.com/office/drawing/2014/main" id="{363D9769-810E-451F-ACF6-C2040070D723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680C0ABE-A765-4799-9B9A-AD501D487C50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323850</xdr:colOff>
      <xdr:row>5</xdr:row>
      <xdr:rowOff>266700</xdr:rowOff>
    </xdr:from>
    <xdr:to>
      <xdr:col>34</xdr:col>
      <xdr:colOff>64603</xdr:colOff>
      <xdr:row>6</xdr:row>
      <xdr:rowOff>75825</xdr:rowOff>
    </xdr:to>
    <xdr:sp macro="" textlink="">
      <xdr:nvSpPr>
        <xdr:cNvPr id="94" name="Oval 3">
          <a:extLst>
            <a:ext uri="{FF2B5EF4-FFF2-40B4-BE49-F238E27FC236}">
              <a16:creationId xmlns:a16="http://schemas.microsoft.com/office/drawing/2014/main" id="{AFCC57E1-F727-4EE8-BB2D-2190AB76FB5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5" name="Rectangle 1">
          <a:extLst>
            <a:ext uri="{FF2B5EF4-FFF2-40B4-BE49-F238E27FC236}">
              <a16:creationId xmlns:a16="http://schemas.microsoft.com/office/drawing/2014/main" id="{229BEA65-4A8A-47CB-A220-E1E5AB951155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8EB2F02E-428D-4375-B7DF-D4B2ED0811C1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323850</xdr:colOff>
      <xdr:row>5</xdr:row>
      <xdr:rowOff>266700</xdr:rowOff>
    </xdr:from>
    <xdr:to>
      <xdr:col>34</xdr:col>
      <xdr:colOff>64603</xdr:colOff>
      <xdr:row>6</xdr:row>
      <xdr:rowOff>75825</xdr:rowOff>
    </xdr:to>
    <xdr:sp macro="" textlink="">
      <xdr:nvSpPr>
        <xdr:cNvPr id="97" name="Oval 3">
          <a:extLst>
            <a:ext uri="{FF2B5EF4-FFF2-40B4-BE49-F238E27FC236}">
              <a16:creationId xmlns:a16="http://schemas.microsoft.com/office/drawing/2014/main" id="{101C6AE2-FF52-418F-8878-EF24C1D8258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95250</xdr:colOff>
      <xdr:row>6</xdr:row>
      <xdr:rowOff>0</xdr:rowOff>
    </xdr:from>
    <xdr:to>
      <xdr:col>35</xdr:col>
      <xdr:colOff>159853</xdr:colOff>
      <xdr:row>6</xdr:row>
      <xdr:rowOff>75825</xdr:rowOff>
    </xdr:to>
    <xdr:sp macro="" textlink="">
      <xdr:nvSpPr>
        <xdr:cNvPr id="98" name="Oval 3">
          <a:extLst>
            <a:ext uri="{FF2B5EF4-FFF2-40B4-BE49-F238E27FC236}">
              <a16:creationId xmlns:a16="http://schemas.microsoft.com/office/drawing/2014/main" id="{B9FD5114-993C-478D-829B-F29EB5955FF1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9525</xdr:colOff>
      <xdr:row>4</xdr:row>
      <xdr:rowOff>9525</xdr:rowOff>
    </xdr:from>
    <xdr:to>
      <xdr:col>36</xdr:col>
      <xdr:colOff>9525</xdr:colOff>
      <xdr:row>8</xdr:row>
      <xdr:rowOff>9525</xdr:rowOff>
    </xdr:to>
    <xdr:sp macro="" textlink="">
      <xdr:nvSpPr>
        <xdr:cNvPr id="99" name="Rectangle 1">
          <a:extLst>
            <a:ext uri="{FF2B5EF4-FFF2-40B4-BE49-F238E27FC236}">
              <a16:creationId xmlns:a16="http://schemas.microsoft.com/office/drawing/2014/main" id="{E1504B2D-4B2E-4694-962E-1D9C7CE6F395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19050</xdr:colOff>
      <xdr:row>4</xdr:row>
      <xdr:rowOff>19050</xdr:rowOff>
    </xdr:from>
    <xdr:to>
      <xdr:col>36</xdr:col>
      <xdr:colOff>9525</xdr:colOff>
      <xdr:row>8</xdr:row>
      <xdr:rowOff>9525</xdr:rowOff>
    </xdr:to>
    <xdr:sp macro="" textlink="">
      <xdr:nvSpPr>
        <xdr:cNvPr id="100" name="AutoShape 2">
          <a:extLst>
            <a:ext uri="{FF2B5EF4-FFF2-40B4-BE49-F238E27FC236}">
              <a16:creationId xmlns:a16="http://schemas.microsoft.com/office/drawing/2014/main" id="{FC3C806D-80C9-4245-9ACF-6085B43583DA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19050</xdr:colOff>
      <xdr:row>5</xdr:row>
      <xdr:rowOff>266700</xdr:rowOff>
    </xdr:from>
    <xdr:to>
      <xdr:col>35</xdr:col>
      <xdr:colOff>121753</xdr:colOff>
      <xdr:row>6</xdr:row>
      <xdr:rowOff>75825</xdr:rowOff>
    </xdr:to>
    <xdr:sp macro="" textlink="">
      <xdr:nvSpPr>
        <xdr:cNvPr id="101" name="Oval 3">
          <a:extLst>
            <a:ext uri="{FF2B5EF4-FFF2-40B4-BE49-F238E27FC236}">
              <a16:creationId xmlns:a16="http://schemas.microsoft.com/office/drawing/2014/main" id="{6CC2845A-D757-4CCB-A72E-4B1DB7AD2B82}"/>
            </a:ext>
          </a:extLst>
        </xdr:cNvPr>
        <xdr:cNvSpPr>
          <a:spLocks noChangeArrowheads="1"/>
        </xdr:cNvSpPr>
      </xdr:nvSpPr>
      <xdr:spPr bwMode="auto">
        <a:xfrm>
          <a:off x="12030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2" name="Rectangle 1">
          <a:extLst>
            <a:ext uri="{FF2B5EF4-FFF2-40B4-BE49-F238E27FC236}">
              <a16:creationId xmlns:a16="http://schemas.microsoft.com/office/drawing/2014/main" id="{49D6E1AA-DC86-4797-8911-F1885C0A6DB0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C90E1A59-1F30-44B4-A7BD-E75E93953EE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323850</xdr:colOff>
      <xdr:row>5</xdr:row>
      <xdr:rowOff>266700</xdr:rowOff>
    </xdr:from>
    <xdr:to>
      <xdr:col>40</xdr:col>
      <xdr:colOff>64603</xdr:colOff>
      <xdr:row>6</xdr:row>
      <xdr:rowOff>75825</xdr:rowOff>
    </xdr:to>
    <xdr:sp macro="" textlink="">
      <xdr:nvSpPr>
        <xdr:cNvPr id="104" name="Oval 3">
          <a:extLst>
            <a:ext uri="{FF2B5EF4-FFF2-40B4-BE49-F238E27FC236}">
              <a16:creationId xmlns:a16="http://schemas.microsoft.com/office/drawing/2014/main" id="{A6B0F25A-267E-4BC3-9585-E1EB43A3ED4B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5" name="Rectangle 1">
          <a:extLst>
            <a:ext uri="{FF2B5EF4-FFF2-40B4-BE49-F238E27FC236}">
              <a16:creationId xmlns:a16="http://schemas.microsoft.com/office/drawing/2014/main" id="{DFDBDF4B-9B15-472D-B990-D603CB0CAA00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06" name="AutoShape 2">
          <a:extLst>
            <a:ext uri="{FF2B5EF4-FFF2-40B4-BE49-F238E27FC236}">
              <a16:creationId xmlns:a16="http://schemas.microsoft.com/office/drawing/2014/main" id="{667D29A8-809B-4443-8E5C-E11710222D94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323850</xdr:colOff>
      <xdr:row>5</xdr:row>
      <xdr:rowOff>266700</xdr:rowOff>
    </xdr:from>
    <xdr:to>
      <xdr:col>40</xdr:col>
      <xdr:colOff>64603</xdr:colOff>
      <xdr:row>6</xdr:row>
      <xdr:rowOff>75825</xdr:rowOff>
    </xdr:to>
    <xdr:sp macro="" textlink="">
      <xdr:nvSpPr>
        <xdr:cNvPr id="107" name="Oval 3">
          <a:extLst>
            <a:ext uri="{FF2B5EF4-FFF2-40B4-BE49-F238E27FC236}">
              <a16:creationId xmlns:a16="http://schemas.microsoft.com/office/drawing/2014/main" id="{CB50E488-3BB9-4E84-AC2F-415659E7D43D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95250</xdr:colOff>
      <xdr:row>6</xdr:row>
      <xdr:rowOff>0</xdr:rowOff>
    </xdr:from>
    <xdr:to>
      <xdr:col>41</xdr:col>
      <xdr:colOff>159853</xdr:colOff>
      <xdr:row>6</xdr:row>
      <xdr:rowOff>75825</xdr:rowOff>
    </xdr:to>
    <xdr:sp macro="" textlink="">
      <xdr:nvSpPr>
        <xdr:cNvPr id="108" name="Oval 3">
          <a:extLst>
            <a:ext uri="{FF2B5EF4-FFF2-40B4-BE49-F238E27FC236}">
              <a16:creationId xmlns:a16="http://schemas.microsoft.com/office/drawing/2014/main" id="{E8757755-A335-4695-9B98-46EAECF2A9E2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9525</xdr:colOff>
      <xdr:row>4</xdr:row>
      <xdr:rowOff>9525</xdr:rowOff>
    </xdr:from>
    <xdr:to>
      <xdr:col>42</xdr:col>
      <xdr:colOff>9525</xdr:colOff>
      <xdr:row>8</xdr:row>
      <xdr:rowOff>9525</xdr:rowOff>
    </xdr:to>
    <xdr:sp macro="" textlink="">
      <xdr:nvSpPr>
        <xdr:cNvPr id="109" name="Rectangle 1">
          <a:extLst>
            <a:ext uri="{FF2B5EF4-FFF2-40B4-BE49-F238E27FC236}">
              <a16:creationId xmlns:a16="http://schemas.microsoft.com/office/drawing/2014/main" id="{03C0F14D-BAD4-46A1-9D48-BC907914C296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19050</xdr:colOff>
      <xdr:row>4</xdr:row>
      <xdr:rowOff>19050</xdr:rowOff>
    </xdr:from>
    <xdr:to>
      <xdr:col>42</xdr:col>
      <xdr:colOff>9525</xdr:colOff>
      <xdr:row>8</xdr:row>
      <xdr:rowOff>9525</xdr:rowOff>
    </xdr:to>
    <xdr:sp macro="" textlink="">
      <xdr:nvSpPr>
        <xdr:cNvPr id="110" name="AutoShape 2">
          <a:extLst>
            <a:ext uri="{FF2B5EF4-FFF2-40B4-BE49-F238E27FC236}">
              <a16:creationId xmlns:a16="http://schemas.microsoft.com/office/drawing/2014/main" id="{B512E063-F5DD-4141-B555-F58F6C0CC24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161925</xdr:colOff>
      <xdr:row>5</xdr:row>
      <xdr:rowOff>266700</xdr:rowOff>
    </xdr:from>
    <xdr:to>
      <xdr:col>40</xdr:col>
      <xdr:colOff>264628</xdr:colOff>
      <xdr:row>6</xdr:row>
      <xdr:rowOff>75825</xdr:rowOff>
    </xdr:to>
    <xdr:sp macro="" textlink="">
      <xdr:nvSpPr>
        <xdr:cNvPr id="111" name="Oval 3">
          <a:extLst>
            <a:ext uri="{FF2B5EF4-FFF2-40B4-BE49-F238E27FC236}">
              <a16:creationId xmlns:a16="http://schemas.microsoft.com/office/drawing/2014/main" id="{8F9EC6FC-61F5-4892-BC0C-86E49E546E13}"/>
            </a:ext>
          </a:extLst>
        </xdr:cNvPr>
        <xdr:cNvSpPr>
          <a:spLocks noChangeArrowheads="1"/>
        </xdr:cNvSpPr>
      </xdr:nvSpPr>
      <xdr:spPr bwMode="auto">
        <a:xfrm>
          <a:off x="139827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2" name="Rectangle 1">
          <a:extLst>
            <a:ext uri="{FF2B5EF4-FFF2-40B4-BE49-F238E27FC236}">
              <a16:creationId xmlns:a16="http://schemas.microsoft.com/office/drawing/2014/main" id="{E5F41E34-3061-4438-AF02-47ED3764950A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E64CAC86-5653-4C51-865B-9AEFC0B3FDA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323850</xdr:colOff>
      <xdr:row>5</xdr:row>
      <xdr:rowOff>266700</xdr:rowOff>
    </xdr:from>
    <xdr:to>
      <xdr:col>46</xdr:col>
      <xdr:colOff>64603</xdr:colOff>
      <xdr:row>6</xdr:row>
      <xdr:rowOff>75825</xdr:rowOff>
    </xdr:to>
    <xdr:sp macro="" textlink="">
      <xdr:nvSpPr>
        <xdr:cNvPr id="114" name="Oval 3">
          <a:extLst>
            <a:ext uri="{FF2B5EF4-FFF2-40B4-BE49-F238E27FC236}">
              <a16:creationId xmlns:a16="http://schemas.microsoft.com/office/drawing/2014/main" id="{4ED9C12D-EFE7-4B1A-8F28-1AEE2226B24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5" name="Rectangle 1">
          <a:extLst>
            <a:ext uri="{FF2B5EF4-FFF2-40B4-BE49-F238E27FC236}">
              <a16:creationId xmlns:a16="http://schemas.microsoft.com/office/drawing/2014/main" id="{08769303-4611-4410-A3F6-7E34EA8E1087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16" name="AutoShape 2">
          <a:extLst>
            <a:ext uri="{FF2B5EF4-FFF2-40B4-BE49-F238E27FC236}">
              <a16:creationId xmlns:a16="http://schemas.microsoft.com/office/drawing/2014/main" id="{B7414DB5-7ACB-48CF-A938-A83F28A503DC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323850</xdr:colOff>
      <xdr:row>5</xdr:row>
      <xdr:rowOff>266700</xdr:rowOff>
    </xdr:from>
    <xdr:to>
      <xdr:col>46</xdr:col>
      <xdr:colOff>64603</xdr:colOff>
      <xdr:row>6</xdr:row>
      <xdr:rowOff>75825</xdr:rowOff>
    </xdr:to>
    <xdr:sp macro="" textlink="">
      <xdr:nvSpPr>
        <xdr:cNvPr id="117" name="Oval 3">
          <a:extLst>
            <a:ext uri="{FF2B5EF4-FFF2-40B4-BE49-F238E27FC236}">
              <a16:creationId xmlns:a16="http://schemas.microsoft.com/office/drawing/2014/main" id="{A3D9AAB6-0065-4CCB-BB98-0AA70A65AB21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95250</xdr:colOff>
      <xdr:row>6</xdr:row>
      <xdr:rowOff>0</xdr:rowOff>
    </xdr:from>
    <xdr:to>
      <xdr:col>47</xdr:col>
      <xdr:colOff>159853</xdr:colOff>
      <xdr:row>6</xdr:row>
      <xdr:rowOff>75825</xdr:rowOff>
    </xdr:to>
    <xdr:sp macro="" textlink="">
      <xdr:nvSpPr>
        <xdr:cNvPr id="118" name="Oval 3">
          <a:extLst>
            <a:ext uri="{FF2B5EF4-FFF2-40B4-BE49-F238E27FC236}">
              <a16:creationId xmlns:a16="http://schemas.microsoft.com/office/drawing/2014/main" id="{00FADCBD-086D-42E8-9714-D602A28C4EAB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9525</xdr:colOff>
      <xdr:row>4</xdr:row>
      <xdr:rowOff>9525</xdr:rowOff>
    </xdr:from>
    <xdr:to>
      <xdr:col>48</xdr:col>
      <xdr:colOff>9525</xdr:colOff>
      <xdr:row>8</xdr:row>
      <xdr:rowOff>9525</xdr:rowOff>
    </xdr:to>
    <xdr:sp macro="" textlink="">
      <xdr:nvSpPr>
        <xdr:cNvPr id="119" name="Rectangle 1">
          <a:extLst>
            <a:ext uri="{FF2B5EF4-FFF2-40B4-BE49-F238E27FC236}">
              <a16:creationId xmlns:a16="http://schemas.microsoft.com/office/drawing/2014/main" id="{A2339D90-B24C-461C-AAD7-925F1F88C32D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19050</xdr:colOff>
      <xdr:row>4</xdr:row>
      <xdr:rowOff>19050</xdr:rowOff>
    </xdr:from>
    <xdr:to>
      <xdr:col>48</xdr:col>
      <xdr:colOff>9525</xdr:colOff>
      <xdr:row>8</xdr:row>
      <xdr:rowOff>9525</xdr:rowOff>
    </xdr:to>
    <xdr:sp macro="" textlink="">
      <xdr:nvSpPr>
        <xdr:cNvPr id="120" name="AutoShape 2">
          <a:extLst>
            <a:ext uri="{FF2B5EF4-FFF2-40B4-BE49-F238E27FC236}">
              <a16:creationId xmlns:a16="http://schemas.microsoft.com/office/drawing/2014/main" id="{1D9D8591-0BDB-447E-A63B-38D2963FE472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95250</xdr:colOff>
      <xdr:row>5</xdr:row>
      <xdr:rowOff>266700</xdr:rowOff>
    </xdr:from>
    <xdr:to>
      <xdr:col>46</xdr:col>
      <xdr:colOff>197953</xdr:colOff>
      <xdr:row>6</xdr:row>
      <xdr:rowOff>75825</xdr:rowOff>
    </xdr:to>
    <xdr:sp macro="" textlink="">
      <xdr:nvSpPr>
        <xdr:cNvPr id="121" name="Oval 3">
          <a:extLst>
            <a:ext uri="{FF2B5EF4-FFF2-40B4-BE49-F238E27FC236}">
              <a16:creationId xmlns:a16="http://schemas.microsoft.com/office/drawing/2014/main" id="{67E5C816-5947-46FA-8AAB-B660E4B0735F}"/>
            </a:ext>
          </a:extLst>
        </xdr:cNvPr>
        <xdr:cNvSpPr>
          <a:spLocks noChangeArrowheads="1"/>
        </xdr:cNvSpPr>
      </xdr:nvSpPr>
      <xdr:spPr bwMode="auto">
        <a:xfrm>
          <a:off x="160877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2" name="Rectangle 1">
          <a:extLst>
            <a:ext uri="{FF2B5EF4-FFF2-40B4-BE49-F238E27FC236}">
              <a16:creationId xmlns:a16="http://schemas.microsoft.com/office/drawing/2014/main" id="{FE15FE97-60F7-4C97-8781-95EEEECC6ED6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E47C4419-67A9-4BB9-AC60-48BAC6EC79D5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323850</xdr:colOff>
      <xdr:row>5</xdr:row>
      <xdr:rowOff>266700</xdr:rowOff>
    </xdr:from>
    <xdr:to>
      <xdr:col>52</xdr:col>
      <xdr:colOff>64603</xdr:colOff>
      <xdr:row>6</xdr:row>
      <xdr:rowOff>75825</xdr:rowOff>
    </xdr:to>
    <xdr:sp macro="" textlink="">
      <xdr:nvSpPr>
        <xdr:cNvPr id="134" name="Oval 3">
          <a:extLst>
            <a:ext uri="{FF2B5EF4-FFF2-40B4-BE49-F238E27FC236}">
              <a16:creationId xmlns:a16="http://schemas.microsoft.com/office/drawing/2014/main" id="{5E6E29F1-F440-46C2-91FE-653F6C7A78C7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5" name="Rectangle 1">
          <a:extLst>
            <a:ext uri="{FF2B5EF4-FFF2-40B4-BE49-F238E27FC236}">
              <a16:creationId xmlns:a16="http://schemas.microsoft.com/office/drawing/2014/main" id="{3BA3C3C5-7B0D-4AC8-8679-3C2173345409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36" name="AutoShape 2">
          <a:extLst>
            <a:ext uri="{FF2B5EF4-FFF2-40B4-BE49-F238E27FC236}">
              <a16:creationId xmlns:a16="http://schemas.microsoft.com/office/drawing/2014/main" id="{6C883134-B478-44E1-9FC4-6DB871BA119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323850</xdr:colOff>
      <xdr:row>5</xdr:row>
      <xdr:rowOff>266700</xdr:rowOff>
    </xdr:from>
    <xdr:to>
      <xdr:col>52</xdr:col>
      <xdr:colOff>64603</xdr:colOff>
      <xdr:row>6</xdr:row>
      <xdr:rowOff>75825</xdr:rowOff>
    </xdr:to>
    <xdr:sp macro="" textlink="">
      <xdr:nvSpPr>
        <xdr:cNvPr id="137" name="Oval 3">
          <a:extLst>
            <a:ext uri="{FF2B5EF4-FFF2-40B4-BE49-F238E27FC236}">
              <a16:creationId xmlns:a16="http://schemas.microsoft.com/office/drawing/2014/main" id="{04411473-8558-4616-BD3E-028936E99D96}"/>
            </a:ext>
          </a:extLst>
        </xdr:cNvPr>
        <xdr:cNvSpPr>
          <a:spLocks noChangeArrowheads="1"/>
        </xdr:cNvSpPr>
      </xdr:nvSpPr>
      <xdr:spPr bwMode="auto">
        <a:xfrm>
          <a:off x="39719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95250</xdr:colOff>
      <xdr:row>6</xdr:row>
      <xdr:rowOff>0</xdr:rowOff>
    </xdr:from>
    <xdr:to>
      <xdr:col>53</xdr:col>
      <xdr:colOff>159853</xdr:colOff>
      <xdr:row>6</xdr:row>
      <xdr:rowOff>75825</xdr:rowOff>
    </xdr:to>
    <xdr:sp macro="" textlink="">
      <xdr:nvSpPr>
        <xdr:cNvPr id="138" name="Oval 3">
          <a:extLst>
            <a:ext uri="{FF2B5EF4-FFF2-40B4-BE49-F238E27FC236}">
              <a16:creationId xmlns:a16="http://schemas.microsoft.com/office/drawing/2014/main" id="{2ADCD98C-EE9B-43F5-9ECE-A5B64B1AF508}"/>
            </a:ext>
          </a:extLst>
        </xdr:cNvPr>
        <xdr:cNvSpPr>
          <a:spLocks noChangeArrowheads="1"/>
        </xdr:cNvSpPr>
      </xdr:nvSpPr>
      <xdr:spPr bwMode="auto">
        <a:xfrm>
          <a:off x="446722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9525</xdr:colOff>
      <xdr:row>4</xdr:row>
      <xdr:rowOff>9525</xdr:rowOff>
    </xdr:from>
    <xdr:to>
      <xdr:col>54</xdr:col>
      <xdr:colOff>9525</xdr:colOff>
      <xdr:row>8</xdr:row>
      <xdr:rowOff>9525</xdr:rowOff>
    </xdr:to>
    <xdr:sp macro="" textlink="">
      <xdr:nvSpPr>
        <xdr:cNvPr id="139" name="Rectangle 1">
          <a:extLst>
            <a:ext uri="{FF2B5EF4-FFF2-40B4-BE49-F238E27FC236}">
              <a16:creationId xmlns:a16="http://schemas.microsoft.com/office/drawing/2014/main" id="{BC5F0FE2-BEDF-4D51-BBD2-E4F8367081F7}"/>
            </a:ext>
          </a:extLst>
        </xdr:cNvPr>
        <xdr:cNvSpPr>
          <a:spLocks noChangeArrowheads="1"/>
        </xdr:cNvSpPr>
      </xdr:nvSpPr>
      <xdr:spPr bwMode="auto">
        <a:xfrm>
          <a:off x="329565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19050</xdr:colOff>
      <xdr:row>4</xdr:row>
      <xdr:rowOff>19050</xdr:rowOff>
    </xdr:from>
    <xdr:to>
      <xdr:col>54</xdr:col>
      <xdr:colOff>9525</xdr:colOff>
      <xdr:row>8</xdr:row>
      <xdr:rowOff>9525</xdr:rowOff>
    </xdr:to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A868D3C0-A111-467D-BB09-F57BD59AD529}"/>
            </a:ext>
          </a:extLst>
        </xdr:cNvPr>
        <xdr:cNvSpPr>
          <a:spLocks noChangeArrowheads="1"/>
        </xdr:cNvSpPr>
      </xdr:nvSpPr>
      <xdr:spPr bwMode="auto">
        <a:xfrm>
          <a:off x="330517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57150</xdr:colOff>
      <xdr:row>5</xdr:row>
      <xdr:rowOff>266700</xdr:rowOff>
    </xdr:from>
    <xdr:to>
      <xdr:col>52</xdr:col>
      <xdr:colOff>159853</xdr:colOff>
      <xdr:row>6</xdr:row>
      <xdr:rowOff>75825</xdr:rowOff>
    </xdr:to>
    <xdr:sp macro="" textlink="">
      <xdr:nvSpPr>
        <xdr:cNvPr id="141" name="Oval 3">
          <a:extLst>
            <a:ext uri="{FF2B5EF4-FFF2-40B4-BE49-F238E27FC236}">
              <a16:creationId xmlns:a16="http://schemas.microsoft.com/office/drawing/2014/main" id="{7A1D6538-8C5D-4541-A92F-716A22E6BE69}"/>
            </a:ext>
          </a:extLst>
        </xdr:cNvPr>
        <xdr:cNvSpPr>
          <a:spLocks noChangeArrowheads="1"/>
        </xdr:cNvSpPr>
      </xdr:nvSpPr>
      <xdr:spPr bwMode="auto">
        <a:xfrm>
          <a:off x="182213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5</xdr:row>
      <xdr:rowOff>266700</xdr:rowOff>
    </xdr:from>
    <xdr:to>
      <xdr:col>35</xdr:col>
      <xdr:colOff>302728</xdr:colOff>
      <xdr:row>6</xdr:row>
      <xdr:rowOff>75825</xdr:rowOff>
    </xdr:to>
    <xdr:sp macro="" textlink="">
      <xdr:nvSpPr>
        <xdr:cNvPr id="142" name="Oval 3">
          <a:extLst>
            <a:ext uri="{FF2B5EF4-FFF2-40B4-BE49-F238E27FC236}">
              <a16:creationId xmlns:a16="http://schemas.microsoft.com/office/drawing/2014/main" id="{6BC74442-D4BC-4571-9A18-0A1D7DAC34F4}"/>
            </a:ext>
          </a:extLst>
        </xdr:cNvPr>
        <xdr:cNvSpPr>
          <a:spLocks noChangeArrowheads="1"/>
        </xdr:cNvSpPr>
      </xdr:nvSpPr>
      <xdr:spPr bwMode="auto">
        <a:xfrm>
          <a:off x="122110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352425</xdr:colOff>
      <xdr:row>5</xdr:row>
      <xdr:rowOff>266700</xdr:rowOff>
    </xdr:from>
    <xdr:to>
      <xdr:col>41</xdr:col>
      <xdr:colOff>93178</xdr:colOff>
      <xdr:row>6</xdr:row>
      <xdr:rowOff>75825</xdr:rowOff>
    </xdr:to>
    <xdr:sp macro="" textlink="">
      <xdr:nvSpPr>
        <xdr:cNvPr id="143" name="Oval 3">
          <a:extLst>
            <a:ext uri="{FF2B5EF4-FFF2-40B4-BE49-F238E27FC236}">
              <a16:creationId xmlns:a16="http://schemas.microsoft.com/office/drawing/2014/main" id="{8A99C7A2-CA13-454B-8F03-A8AC2D33CB52}"/>
            </a:ext>
          </a:extLst>
        </xdr:cNvPr>
        <xdr:cNvSpPr>
          <a:spLocks noChangeArrowheads="1"/>
        </xdr:cNvSpPr>
      </xdr:nvSpPr>
      <xdr:spPr bwMode="auto">
        <a:xfrm>
          <a:off x="14173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190500</xdr:colOff>
      <xdr:row>5</xdr:row>
      <xdr:rowOff>266700</xdr:rowOff>
    </xdr:from>
    <xdr:to>
      <xdr:col>41</xdr:col>
      <xdr:colOff>293203</xdr:colOff>
      <xdr:row>6</xdr:row>
      <xdr:rowOff>75825</xdr:rowOff>
    </xdr:to>
    <xdr:sp macro="" textlink="">
      <xdr:nvSpPr>
        <xdr:cNvPr id="144" name="Oval 3">
          <a:extLst>
            <a:ext uri="{FF2B5EF4-FFF2-40B4-BE49-F238E27FC236}">
              <a16:creationId xmlns:a16="http://schemas.microsoft.com/office/drawing/2014/main" id="{A9752914-9835-4AE2-9CA1-F65BEA93717E}"/>
            </a:ext>
          </a:extLst>
        </xdr:cNvPr>
        <xdr:cNvSpPr>
          <a:spLocks noChangeArrowheads="1"/>
        </xdr:cNvSpPr>
      </xdr:nvSpPr>
      <xdr:spPr bwMode="auto">
        <a:xfrm>
          <a:off x="143732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228600</xdr:colOff>
      <xdr:row>5</xdr:row>
      <xdr:rowOff>266700</xdr:rowOff>
    </xdr:from>
    <xdr:to>
      <xdr:col>47</xdr:col>
      <xdr:colOff>331303</xdr:colOff>
      <xdr:row>6</xdr:row>
      <xdr:rowOff>75825</xdr:rowOff>
    </xdr:to>
    <xdr:sp macro="" textlink="">
      <xdr:nvSpPr>
        <xdr:cNvPr id="145" name="Oval 3">
          <a:extLst>
            <a:ext uri="{FF2B5EF4-FFF2-40B4-BE49-F238E27FC236}">
              <a16:creationId xmlns:a16="http://schemas.microsoft.com/office/drawing/2014/main" id="{477A4095-969A-4414-8BD2-0C665A664AA2}"/>
            </a:ext>
          </a:extLst>
        </xdr:cNvPr>
        <xdr:cNvSpPr>
          <a:spLocks noChangeArrowheads="1"/>
        </xdr:cNvSpPr>
      </xdr:nvSpPr>
      <xdr:spPr bwMode="auto">
        <a:xfrm>
          <a:off x="165830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47</xdr:col>
      <xdr:colOff>76200</xdr:colOff>
      <xdr:row>5</xdr:row>
      <xdr:rowOff>266700</xdr:rowOff>
    </xdr:from>
    <xdr:to>
      <xdr:col>47</xdr:col>
      <xdr:colOff>178903</xdr:colOff>
      <xdr:row>6</xdr:row>
      <xdr:rowOff>75825</xdr:rowOff>
    </xdr:to>
    <xdr:sp macro="" textlink="">
      <xdr:nvSpPr>
        <xdr:cNvPr id="146" name="Oval 3">
          <a:extLst>
            <a:ext uri="{FF2B5EF4-FFF2-40B4-BE49-F238E27FC236}">
              <a16:creationId xmlns:a16="http://schemas.microsoft.com/office/drawing/2014/main" id="{A418DDD0-9E5A-44E5-8A62-081CC75C907D}"/>
            </a:ext>
          </a:extLst>
        </xdr:cNvPr>
        <xdr:cNvSpPr>
          <a:spLocks noChangeArrowheads="1"/>
        </xdr:cNvSpPr>
      </xdr:nvSpPr>
      <xdr:spPr bwMode="auto">
        <a:xfrm>
          <a:off x="1643062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46</xdr:col>
      <xdr:colOff>266700</xdr:colOff>
      <xdr:row>5</xdr:row>
      <xdr:rowOff>266700</xdr:rowOff>
    </xdr:from>
    <xdr:to>
      <xdr:col>47</xdr:col>
      <xdr:colOff>7453</xdr:colOff>
      <xdr:row>6</xdr:row>
      <xdr:rowOff>75825</xdr:rowOff>
    </xdr:to>
    <xdr:sp macro="" textlink="">
      <xdr:nvSpPr>
        <xdr:cNvPr id="147" name="Oval 3">
          <a:extLst>
            <a:ext uri="{FF2B5EF4-FFF2-40B4-BE49-F238E27FC236}">
              <a16:creationId xmlns:a16="http://schemas.microsoft.com/office/drawing/2014/main" id="{70FD0B84-111F-45B6-81FA-284A70C8E1DF}"/>
            </a:ext>
          </a:extLst>
        </xdr:cNvPr>
        <xdr:cNvSpPr>
          <a:spLocks noChangeArrowheads="1"/>
        </xdr:cNvSpPr>
      </xdr:nvSpPr>
      <xdr:spPr bwMode="auto">
        <a:xfrm>
          <a:off x="162591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200025</xdr:colOff>
      <xdr:row>5</xdr:row>
      <xdr:rowOff>266700</xdr:rowOff>
    </xdr:from>
    <xdr:to>
      <xdr:col>52</xdr:col>
      <xdr:colOff>302728</xdr:colOff>
      <xdr:row>6</xdr:row>
      <xdr:rowOff>75825</xdr:rowOff>
    </xdr:to>
    <xdr:sp macro="" textlink="">
      <xdr:nvSpPr>
        <xdr:cNvPr id="148" name="Oval 3">
          <a:extLst>
            <a:ext uri="{FF2B5EF4-FFF2-40B4-BE49-F238E27FC236}">
              <a16:creationId xmlns:a16="http://schemas.microsoft.com/office/drawing/2014/main" id="{5CFC6952-7572-4E4E-A75C-62D1A91E77D3}"/>
            </a:ext>
          </a:extLst>
        </xdr:cNvPr>
        <xdr:cNvSpPr>
          <a:spLocks noChangeArrowheads="1"/>
        </xdr:cNvSpPr>
      </xdr:nvSpPr>
      <xdr:spPr bwMode="auto">
        <a:xfrm>
          <a:off x="18364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342900</xdr:colOff>
      <xdr:row>5</xdr:row>
      <xdr:rowOff>266700</xdr:rowOff>
    </xdr:from>
    <xdr:to>
      <xdr:col>53</xdr:col>
      <xdr:colOff>83653</xdr:colOff>
      <xdr:row>6</xdr:row>
      <xdr:rowOff>75825</xdr:rowOff>
    </xdr:to>
    <xdr:sp macro="" textlink="">
      <xdr:nvSpPr>
        <xdr:cNvPr id="149" name="Oval 3">
          <a:extLst>
            <a:ext uri="{FF2B5EF4-FFF2-40B4-BE49-F238E27FC236}">
              <a16:creationId xmlns:a16="http://schemas.microsoft.com/office/drawing/2014/main" id="{55583E88-BECC-4AE1-A51B-7FE15C2F3880}"/>
            </a:ext>
          </a:extLst>
        </xdr:cNvPr>
        <xdr:cNvSpPr>
          <a:spLocks noChangeArrowheads="1"/>
        </xdr:cNvSpPr>
      </xdr:nvSpPr>
      <xdr:spPr bwMode="auto">
        <a:xfrm>
          <a:off x="18507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123825</xdr:colOff>
      <xdr:row>5</xdr:row>
      <xdr:rowOff>266700</xdr:rowOff>
    </xdr:from>
    <xdr:to>
      <xdr:col>53</xdr:col>
      <xdr:colOff>226528</xdr:colOff>
      <xdr:row>6</xdr:row>
      <xdr:rowOff>75825</xdr:rowOff>
    </xdr:to>
    <xdr:sp macro="" textlink="">
      <xdr:nvSpPr>
        <xdr:cNvPr id="150" name="Oval 3">
          <a:extLst>
            <a:ext uri="{FF2B5EF4-FFF2-40B4-BE49-F238E27FC236}">
              <a16:creationId xmlns:a16="http://schemas.microsoft.com/office/drawing/2014/main" id="{F73510AF-17ED-4C23-A4AF-DA2A1138CA03}"/>
            </a:ext>
          </a:extLst>
        </xdr:cNvPr>
        <xdr:cNvSpPr>
          <a:spLocks noChangeArrowheads="1"/>
        </xdr:cNvSpPr>
      </xdr:nvSpPr>
      <xdr:spPr bwMode="auto">
        <a:xfrm>
          <a:off x="186499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257175</xdr:colOff>
      <xdr:row>5</xdr:row>
      <xdr:rowOff>266700</xdr:rowOff>
    </xdr:from>
    <xdr:to>
      <xdr:col>53</xdr:col>
      <xdr:colOff>359878</xdr:colOff>
      <xdr:row>6</xdr:row>
      <xdr:rowOff>75825</xdr:rowOff>
    </xdr:to>
    <xdr:sp macro="" textlink="">
      <xdr:nvSpPr>
        <xdr:cNvPr id="151" name="Oval 3">
          <a:extLst>
            <a:ext uri="{FF2B5EF4-FFF2-40B4-BE49-F238E27FC236}">
              <a16:creationId xmlns:a16="http://schemas.microsoft.com/office/drawing/2014/main" id="{57C7D7F6-CF6B-4767-932E-759742893806}"/>
            </a:ext>
          </a:extLst>
        </xdr:cNvPr>
        <xdr:cNvSpPr>
          <a:spLocks noChangeArrowheads="1"/>
        </xdr:cNvSpPr>
      </xdr:nvSpPr>
      <xdr:spPr bwMode="auto">
        <a:xfrm>
          <a:off x="187833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65" name="Rectangle 1">
          <a:extLst>
            <a:ext uri="{FF2B5EF4-FFF2-40B4-BE49-F238E27FC236}">
              <a16:creationId xmlns:a16="http://schemas.microsoft.com/office/drawing/2014/main" id="{58E4577E-8249-4FCA-8AA0-75C949E7E90F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66" name="AutoShape 2">
          <a:extLst>
            <a:ext uri="{FF2B5EF4-FFF2-40B4-BE49-F238E27FC236}">
              <a16:creationId xmlns:a16="http://schemas.microsoft.com/office/drawing/2014/main" id="{061CC117-2655-45B0-A1AD-CA851561AEDF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323850</xdr:colOff>
      <xdr:row>5</xdr:row>
      <xdr:rowOff>266700</xdr:rowOff>
    </xdr:from>
    <xdr:to>
      <xdr:col>58</xdr:col>
      <xdr:colOff>64603</xdr:colOff>
      <xdr:row>6</xdr:row>
      <xdr:rowOff>75825</xdr:rowOff>
    </xdr:to>
    <xdr:sp macro="" textlink="">
      <xdr:nvSpPr>
        <xdr:cNvPr id="167" name="Oval 3">
          <a:extLst>
            <a:ext uri="{FF2B5EF4-FFF2-40B4-BE49-F238E27FC236}">
              <a16:creationId xmlns:a16="http://schemas.microsoft.com/office/drawing/2014/main" id="{FDA0752E-5403-4083-8DE3-676768019E6A}"/>
            </a:ext>
          </a:extLst>
        </xdr:cNvPr>
        <xdr:cNvSpPr>
          <a:spLocks noChangeArrowheads="1"/>
        </xdr:cNvSpPr>
      </xdr:nvSpPr>
      <xdr:spPr bwMode="auto">
        <a:xfrm>
          <a:off x="94392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68" name="Rectangle 1">
          <a:extLst>
            <a:ext uri="{FF2B5EF4-FFF2-40B4-BE49-F238E27FC236}">
              <a16:creationId xmlns:a16="http://schemas.microsoft.com/office/drawing/2014/main" id="{2E100F74-FC4B-4B56-AC96-5D78912D0D95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DF0536F9-8F7F-49BC-BC48-66AF9BD15ADF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57</xdr:col>
      <xdr:colOff>323850</xdr:colOff>
      <xdr:row>5</xdr:row>
      <xdr:rowOff>266700</xdr:rowOff>
    </xdr:from>
    <xdr:to>
      <xdr:col>58</xdr:col>
      <xdr:colOff>64603</xdr:colOff>
      <xdr:row>6</xdr:row>
      <xdr:rowOff>75825</xdr:rowOff>
    </xdr:to>
    <xdr:sp macro="" textlink="">
      <xdr:nvSpPr>
        <xdr:cNvPr id="170" name="Oval 3">
          <a:extLst>
            <a:ext uri="{FF2B5EF4-FFF2-40B4-BE49-F238E27FC236}">
              <a16:creationId xmlns:a16="http://schemas.microsoft.com/office/drawing/2014/main" id="{EAB0D10D-099D-443E-B3A1-A6108EB44F1D}"/>
            </a:ext>
          </a:extLst>
        </xdr:cNvPr>
        <xdr:cNvSpPr>
          <a:spLocks noChangeArrowheads="1"/>
        </xdr:cNvSpPr>
      </xdr:nvSpPr>
      <xdr:spPr bwMode="auto">
        <a:xfrm>
          <a:off x="94392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95250</xdr:colOff>
      <xdr:row>6</xdr:row>
      <xdr:rowOff>0</xdr:rowOff>
    </xdr:from>
    <xdr:to>
      <xdr:col>59</xdr:col>
      <xdr:colOff>159853</xdr:colOff>
      <xdr:row>6</xdr:row>
      <xdr:rowOff>75825</xdr:rowOff>
    </xdr:to>
    <xdr:sp macro="" textlink="">
      <xdr:nvSpPr>
        <xdr:cNvPr id="171" name="Oval 3">
          <a:extLst>
            <a:ext uri="{FF2B5EF4-FFF2-40B4-BE49-F238E27FC236}">
              <a16:creationId xmlns:a16="http://schemas.microsoft.com/office/drawing/2014/main" id="{09B47FFF-EC7C-40A4-A212-9589CC429746}"/>
            </a:ext>
          </a:extLst>
        </xdr:cNvPr>
        <xdr:cNvSpPr>
          <a:spLocks noChangeArrowheads="1"/>
        </xdr:cNvSpPr>
      </xdr:nvSpPr>
      <xdr:spPr bwMode="auto">
        <a:xfrm>
          <a:off x="993457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9525</xdr:colOff>
      <xdr:row>4</xdr:row>
      <xdr:rowOff>9525</xdr:rowOff>
    </xdr:from>
    <xdr:to>
      <xdr:col>60</xdr:col>
      <xdr:colOff>9525</xdr:colOff>
      <xdr:row>8</xdr:row>
      <xdr:rowOff>9525</xdr:rowOff>
    </xdr:to>
    <xdr:sp macro="" textlink="">
      <xdr:nvSpPr>
        <xdr:cNvPr id="172" name="Rectangle 1">
          <a:extLst>
            <a:ext uri="{FF2B5EF4-FFF2-40B4-BE49-F238E27FC236}">
              <a16:creationId xmlns:a16="http://schemas.microsoft.com/office/drawing/2014/main" id="{9DB90146-6A10-4E61-8A4E-5696BFF95521}"/>
            </a:ext>
          </a:extLst>
        </xdr:cNvPr>
        <xdr:cNvSpPr>
          <a:spLocks noChangeArrowheads="1"/>
        </xdr:cNvSpPr>
      </xdr:nvSpPr>
      <xdr:spPr bwMode="auto">
        <a:xfrm>
          <a:off x="87630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19050</xdr:colOff>
      <xdr:row>4</xdr:row>
      <xdr:rowOff>19050</xdr:rowOff>
    </xdr:from>
    <xdr:to>
      <xdr:col>60</xdr:col>
      <xdr:colOff>9525</xdr:colOff>
      <xdr:row>8</xdr:row>
      <xdr:rowOff>9525</xdr:rowOff>
    </xdr:to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83230409-1261-487C-BB5D-C225D4C2C5F6}"/>
            </a:ext>
          </a:extLst>
        </xdr:cNvPr>
        <xdr:cNvSpPr>
          <a:spLocks noChangeArrowheads="1"/>
        </xdr:cNvSpPr>
      </xdr:nvSpPr>
      <xdr:spPr bwMode="auto">
        <a:xfrm>
          <a:off x="87725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59</xdr:col>
      <xdr:colOff>142875</xdr:colOff>
      <xdr:row>5</xdr:row>
      <xdr:rowOff>266700</xdr:rowOff>
    </xdr:from>
    <xdr:to>
      <xdr:col>59</xdr:col>
      <xdr:colOff>245578</xdr:colOff>
      <xdr:row>6</xdr:row>
      <xdr:rowOff>75825</xdr:rowOff>
    </xdr:to>
    <xdr:sp macro="" textlink="">
      <xdr:nvSpPr>
        <xdr:cNvPr id="174" name="Oval 3">
          <a:extLst>
            <a:ext uri="{FF2B5EF4-FFF2-40B4-BE49-F238E27FC236}">
              <a16:creationId xmlns:a16="http://schemas.microsoft.com/office/drawing/2014/main" id="{59282CC5-1CDB-448A-805F-328918A112D5}"/>
            </a:ext>
          </a:extLst>
        </xdr:cNvPr>
        <xdr:cNvSpPr>
          <a:spLocks noChangeArrowheads="1"/>
        </xdr:cNvSpPr>
      </xdr:nvSpPr>
      <xdr:spPr bwMode="auto">
        <a:xfrm>
          <a:off x="99822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56</xdr:col>
      <xdr:colOff>200025</xdr:colOff>
      <xdr:row>5</xdr:row>
      <xdr:rowOff>266700</xdr:rowOff>
    </xdr:from>
    <xdr:to>
      <xdr:col>56</xdr:col>
      <xdr:colOff>302728</xdr:colOff>
      <xdr:row>6</xdr:row>
      <xdr:rowOff>75825</xdr:rowOff>
    </xdr:to>
    <xdr:sp macro="" textlink="">
      <xdr:nvSpPr>
        <xdr:cNvPr id="175" name="Oval 3">
          <a:extLst>
            <a:ext uri="{FF2B5EF4-FFF2-40B4-BE49-F238E27FC236}">
              <a16:creationId xmlns:a16="http://schemas.microsoft.com/office/drawing/2014/main" id="{7F0CBBE5-DFB1-4944-B12D-BB263681B5EF}"/>
            </a:ext>
          </a:extLst>
        </xdr:cNvPr>
        <xdr:cNvSpPr>
          <a:spLocks noChangeArrowheads="1"/>
        </xdr:cNvSpPr>
      </xdr:nvSpPr>
      <xdr:spPr bwMode="auto">
        <a:xfrm>
          <a:off x="1981200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8</xdr:col>
      <xdr:colOff>157527</xdr:colOff>
      <xdr:row>10</xdr:row>
      <xdr:rowOff>175846</xdr:rowOff>
    </xdr:from>
    <xdr:to>
      <xdr:col>9</xdr:col>
      <xdr:colOff>352021</xdr:colOff>
      <xdr:row>12</xdr:row>
      <xdr:rowOff>2930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3B89877-CCC8-4AE2-85A9-2E3EDFF1B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0000" b="90000" l="10000" r="95455">
                      <a14:foregroundMark x1="48485" y1="63462" x2="48485" y2="63462"/>
                      <a14:foregroundMark x1="67576" y1="71923" x2="67576" y2="71923"/>
                      <a14:foregroundMark x1="95455" y1="72692" x2="95455" y2="72692"/>
                      <a14:foregroundMark x1="42727" y1="34231" x2="42727" y2="34231"/>
                      <a14:backgroundMark x1="83636" y1="67692" x2="83636" y2="67692"/>
                      <a14:backgroundMark x1="84242" y1="84231" x2="84242" y2="84231"/>
                    </a14:backgroundRemoval>
                  </a14:imgEffect>
                  <a14:imgEffect>
                    <a14:saturation sat="0"/>
                  </a14:imgEffect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40950" y="2930769"/>
          <a:ext cx="553513" cy="439615"/>
        </a:xfrm>
        <a:prstGeom prst="rect">
          <a:avLst/>
        </a:prstGeom>
      </xdr:spPr>
    </xdr:pic>
    <xdr:clientData/>
  </xdr:twoCellAnchor>
  <xdr:oneCellAnchor>
    <xdr:from>
      <xdr:col>8</xdr:col>
      <xdr:colOff>76200</xdr:colOff>
      <xdr:row>11</xdr:row>
      <xdr:rowOff>161707</xdr:rowOff>
    </xdr:from>
    <xdr:ext cx="647700" cy="438367"/>
    <xdr:pic>
      <xdr:nvPicPr>
        <xdr:cNvPr id="4" name="그림 3">
          <a:extLst>
            <a:ext uri="{FF2B5EF4-FFF2-40B4-BE49-F238E27FC236}">
              <a16:creationId xmlns:a16="http://schemas.microsoft.com/office/drawing/2014/main" id="{97FDBDC1-BFEE-4348-BE10-03154C569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200182"/>
          <a:ext cx="647700" cy="438367"/>
        </a:xfrm>
        <a:prstGeom prst="rect">
          <a:avLst/>
        </a:prstGeom>
      </xdr:spPr>
    </xdr:pic>
    <xdr:clientData/>
  </xdr:oneCellAnchor>
  <xdr:oneCellAnchor>
    <xdr:from>
      <xdr:col>8</xdr:col>
      <xdr:colOff>238125</xdr:colOff>
      <xdr:row>12</xdr:row>
      <xdr:rowOff>0</xdr:rowOff>
    </xdr:from>
    <xdr:ext cx="572335" cy="450874"/>
    <xdr:pic>
      <xdr:nvPicPr>
        <xdr:cNvPr id="6" name="Picture 1">
          <a:extLst>
            <a:ext uri="{FF2B5EF4-FFF2-40B4-BE49-F238E27FC236}">
              <a16:creationId xmlns:a16="http://schemas.microsoft.com/office/drawing/2014/main" id="{6FE0BFBC-CF47-43EE-B2C4-918B90F36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438400" y="3343275"/>
          <a:ext cx="572335" cy="450874"/>
        </a:xfrm>
        <a:prstGeom prst="rect">
          <a:avLst/>
        </a:prstGeom>
        <a:noFill/>
        <a:ln>
          <a:noFill/>
        </a:ln>
        <a:effectLst/>
      </xdr:spPr>
    </xdr:pic>
    <xdr:clientData/>
  </xdr:oneCellAnchor>
  <xdr:oneCellAnchor>
    <xdr:from>
      <xdr:col>7</xdr:col>
      <xdr:colOff>266700</xdr:colOff>
      <xdr:row>13</xdr:row>
      <xdr:rowOff>76200</xdr:rowOff>
    </xdr:from>
    <xdr:ext cx="1137623" cy="477372"/>
    <xdr:pic>
      <xdr:nvPicPr>
        <xdr:cNvPr id="122" name="그림 121" descr="확인서명">
          <a:extLst>
            <a:ext uri="{FF2B5EF4-FFF2-40B4-BE49-F238E27FC236}">
              <a16:creationId xmlns:a16="http://schemas.microsoft.com/office/drawing/2014/main" id="{525508C3-E4FC-4916-A7C3-6FAADEF1F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85750"/>
          <a:ext cx="1137623" cy="477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23" name="Rectangle 1">
          <a:extLst>
            <a:ext uri="{FF2B5EF4-FFF2-40B4-BE49-F238E27FC236}">
              <a16:creationId xmlns:a16="http://schemas.microsoft.com/office/drawing/2014/main" id="{652A9F4A-87BE-4D86-8E33-074685D1DE47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24" name="AutoShape 2">
          <a:extLst>
            <a:ext uri="{FF2B5EF4-FFF2-40B4-BE49-F238E27FC236}">
              <a16:creationId xmlns:a16="http://schemas.microsoft.com/office/drawing/2014/main" id="{041BC15F-3A3B-45C3-8639-33DF4B92CDD2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25" name="Oval 3">
          <a:extLst>
            <a:ext uri="{FF2B5EF4-FFF2-40B4-BE49-F238E27FC236}">
              <a16:creationId xmlns:a16="http://schemas.microsoft.com/office/drawing/2014/main" id="{5951A61D-F7D1-470F-9A0A-B7573C60EAA0}"/>
            </a:ext>
          </a:extLst>
        </xdr:cNvPr>
        <xdr:cNvSpPr>
          <a:spLocks noChangeArrowheads="1"/>
        </xdr:cNvSpPr>
      </xdr:nvSpPr>
      <xdr:spPr bwMode="auto">
        <a:xfrm>
          <a:off x="116109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26" name="Rectangle 1">
          <a:extLst>
            <a:ext uri="{FF2B5EF4-FFF2-40B4-BE49-F238E27FC236}">
              <a16:creationId xmlns:a16="http://schemas.microsoft.com/office/drawing/2014/main" id="{C3BC2B24-3605-442D-ADB7-F843392EFB2A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7F89A786-D7D2-4A1B-B6E8-5EC5D61D0E76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323850</xdr:colOff>
      <xdr:row>5</xdr:row>
      <xdr:rowOff>266700</xdr:rowOff>
    </xdr:from>
    <xdr:to>
      <xdr:col>13</xdr:col>
      <xdr:colOff>64603</xdr:colOff>
      <xdr:row>6</xdr:row>
      <xdr:rowOff>75825</xdr:rowOff>
    </xdr:to>
    <xdr:sp macro="" textlink="">
      <xdr:nvSpPr>
        <xdr:cNvPr id="128" name="Oval 3">
          <a:extLst>
            <a:ext uri="{FF2B5EF4-FFF2-40B4-BE49-F238E27FC236}">
              <a16:creationId xmlns:a16="http://schemas.microsoft.com/office/drawing/2014/main" id="{3EAE3C35-735F-4A26-8F1D-6FE93365084B}"/>
            </a:ext>
          </a:extLst>
        </xdr:cNvPr>
        <xdr:cNvSpPr>
          <a:spLocks noChangeArrowheads="1"/>
        </xdr:cNvSpPr>
      </xdr:nvSpPr>
      <xdr:spPr bwMode="auto">
        <a:xfrm>
          <a:off x="116109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95250</xdr:colOff>
      <xdr:row>6</xdr:row>
      <xdr:rowOff>0</xdr:rowOff>
    </xdr:from>
    <xdr:to>
      <xdr:col>14</xdr:col>
      <xdr:colOff>159853</xdr:colOff>
      <xdr:row>6</xdr:row>
      <xdr:rowOff>75825</xdr:rowOff>
    </xdr:to>
    <xdr:sp macro="" textlink="">
      <xdr:nvSpPr>
        <xdr:cNvPr id="129" name="Oval 3">
          <a:extLst>
            <a:ext uri="{FF2B5EF4-FFF2-40B4-BE49-F238E27FC236}">
              <a16:creationId xmlns:a16="http://schemas.microsoft.com/office/drawing/2014/main" id="{B8842E46-91B7-4056-B856-91BB4D33FC19}"/>
            </a:ext>
          </a:extLst>
        </xdr:cNvPr>
        <xdr:cNvSpPr>
          <a:spLocks noChangeArrowheads="1"/>
        </xdr:cNvSpPr>
      </xdr:nvSpPr>
      <xdr:spPr bwMode="auto">
        <a:xfrm>
          <a:off x="12106275" y="1514475"/>
          <a:ext cx="64603" cy="758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9525</xdr:colOff>
      <xdr:row>4</xdr:row>
      <xdr:rowOff>9525</xdr:rowOff>
    </xdr:from>
    <xdr:to>
      <xdr:col>15</xdr:col>
      <xdr:colOff>9525</xdr:colOff>
      <xdr:row>8</xdr:row>
      <xdr:rowOff>9525</xdr:rowOff>
    </xdr:to>
    <xdr:sp macro="" textlink="">
      <xdr:nvSpPr>
        <xdr:cNvPr id="130" name="Rectangle 1">
          <a:extLst>
            <a:ext uri="{FF2B5EF4-FFF2-40B4-BE49-F238E27FC236}">
              <a16:creationId xmlns:a16="http://schemas.microsoft.com/office/drawing/2014/main" id="{2CB7F33B-DDB8-4110-9786-CF889F7681BA}"/>
            </a:ext>
          </a:extLst>
        </xdr:cNvPr>
        <xdr:cNvSpPr>
          <a:spLocks noChangeArrowheads="1"/>
        </xdr:cNvSpPr>
      </xdr:nvSpPr>
      <xdr:spPr bwMode="auto">
        <a:xfrm>
          <a:off x="10934700" y="914400"/>
          <a:ext cx="1447800" cy="12192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</xdr:colOff>
      <xdr:row>4</xdr:row>
      <xdr:rowOff>19050</xdr:rowOff>
    </xdr:from>
    <xdr:to>
      <xdr:col>15</xdr:col>
      <xdr:colOff>9525</xdr:colOff>
      <xdr:row>8</xdr:row>
      <xdr:rowOff>9525</xdr:rowOff>
    </xdr:to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8DCBFDBD-94D3-4EB9-80E1-1F991D60253D}"/>
            </a:ext>
          </a:extLst>
        </xdr:cNvPr>
        <xdr:cNvSpPr>
          <a:spLocks noChangeArrowheads="1"/>
        </xdr:cNvSpPr>
      </xdr:nvSpPr>
      <xdr:spPr bwMode="auto">
        <a:xfrm>
          <a:off x="10944225" y="923925"/>
          <a:ext cx="1438275" cy="12096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19050</xdr:colOff>
      <xdr:row>5</xdr:row>
      <xdr:rowOff>266700</xdr:rowOff>
    </xdr:from>
    <xdr:to>
      <xdr:col>14</xdr:col>
      <xdr:colOff>121753</xdr:colOff>
      <xdr:row>6</xdr:row>
      <xdr:rowOff>75825</xdr:rowOff>
    </xdr:to>
    <xdr:sp macro="" textlink="">
      <xdr:nvSpPr>
        <xdr:cNvPr id="152" name="Oval 3">
          <a:extLst>
            <a:ext uri="{FF2B5EF4-FFF2-40B4-BE49-F238E27FC236}">
              <a16:creationId xmlns:a16="http://schemas.microsoft.com/office/drawing/2014/main" id="{BD289959-27BF-4D63-ACDC-F03AF91E00BB}"/>
            </a:ext>
          </a:extLst>
        </xdr:cNvPr>
        <xdr:cNvSpPr>
          <a:spLocks noChangeArrowheads="1"/>
        </xdr:cNvSpPr>
      </xdr:nvSpPr>
      <xdr:spPr bwMode="auto">
        <a:xfrm>
          <a:off x="12030075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5</xdr:row>
      <xdr:rowOff>266700</xdr:rowOff>
    </xdr:from>
    <xdr:to>
      <xdr:col>14</xdr:col>
      <xdr:colOff>302728</xdr:colOff>
      <xdr:row>6</xdr:row>
      <xdr:rowOff>75825</xdr:rowOff>
    </xdr:to>
    <xdr:sp macro="" textlink="">
      <xdr:nvSpPr>
        <xdr:cNvPr id="153" name="Oval 3">
          <a:extLst>
            <a:ext uri="{FF2B5EF4-FFF2-40B4-BE49-F238E27FC236}">
              <a16:creationId xmlns:a16="http://schemas.microsoft.com/office/drawing/2014/main" id="{ACD95D4E-3662-4BFA-AF74-FC7FDE3FAAAA}"/>
            </a:ext>
          </a:extLst>
        </xdr:cNvPr>
        <xdr:cNvSpPr>
          <a:spLocks noChangeArrowheads="1"/>
        </xdr:cNvSpPr>
      </xdr:nvSpPr>
      <xdr:spPr bwMode="auto">
        <a:xfrm>
          <a:off x="12211050" y="1476375"/>
          <a:ext cx="102703" cy="113925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53</xdr:col>
      <xdr:colOff>218246</xdr:colOff>
      <xdr:row>3</xdr:row>
      <xdr:rowOff>78701</xdr:rowOff>
    </xdr:from>
    <xdr:ext cx="841099" cy="587851"/>
    <xdr:pic>
      <xdr:nvPicPr>
        <xdr:cNvPr id="2" name="그림 1">
          <a:extLst>
            <a:ext uri="{FF2B5EF4-FFF2-40B4-BE49-F238E27FC236}">
              <a16:creationId xmlns:a16="http://schemas.microsoft.com/office/drawing/2014/main" id="{D89ECE12-FED3-4FF1-8274-3345CBF37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1724" y="699897"/>
          <a:ext cx="841099" cy="587851"/>
        </a:xfrm>
        <a:prstGeom prst="rect">
          <a:avLst/>
        </a:prstGeom>
      </xdr:spPr>
    </xdr:pic>
    <xdr:clientData/>
  </xdr:oneCellAnchor>
  <xdr:oneCellAnchor>
    <xdr:from>
      <xdr:col>55</xdr:col>
      <xdr:colOff>311012</xdr:colOff>
      <xdr:row>3</xdr:row>
      <xdr:rowOff>101872</xdr:rowOff>
    </xdr:from>
    <xdr:ext cx="639829" cy="554070"/>
    <xdr:pic>
      <xdr:nvPicPr>
        <xdr:cNvPr id="3" name="그림 2">
          <a:extLst>
            <a:ext uri="{FF2B5EF4-FFF2-40B4-BE49-F238E27FC236}">
              <a16:creationId xmlns:a16="http://schemas.microsoft.com/office/drawing/2014/main" id="{A118DEE9-4B74-4599-89E3-BDCF3202D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0534" y="723068"/>
          <a:ext cx="639829" cy="554070"/>
        </a:xfrm>
        <a:prstGeom prst="rect">
          <a:avLst/>
        </a:prstGeom>
      </xdr:spPr>
    </xdr:pic>
    <xdr:clientData/>
  </xdr:oneCellAnchor>
  <xdr:oneCellAnchor>
    <xdr:from>
      <xdr:col>58</xdr:col>
      <xdr:colOff>159027</xdr:colOff>
      <xdr:row>3</xdr:row>
      <xdr:rowOff>189141</xdr:rowOff>
    </xdr:from>
    <xdr:ext cx="413303" cy="486942"/>
    <xdr:pic>
      <xdr:nvPicPr>
        <xdr:cNvPr id="4" name="그림 3">
          <a:extLst>
            <a:ext uri="{FF2B5EF4-FFF2-40B4-BE49-F238E27FC236}">
              <a16:creationId xmlns:a16="http://schemas.microsoft.com/office/drawing/2014/main" id="{44E8CEF8-805D-48FC-81C5-8133B01ECA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13" r="22158"/>
        <a:stretch/>
      </xdr:blipFill>
      <xdr:spPr>
        <a:xfrm>
          <a:off x="9388752" y="1217841"/>
          <a:ext cx="413303" cy="486942"/>
        </a:xfrm>
        <a:prstGeom prst="rect">
          <a:avLst/>
        </a:prstGeom>
      </xdr:spPr>
    </xdr:pic>
    <xdr:clientData/>
  </xdr:oneCellAnchor>
  <xdr:oneCellAnchor>
    <xdr:from>
      <xdr:col>59</xdr:col>
      <xdr:colOff>161925</xdr:colOff>
      <xdr:row>4</xdr:row>
      <xdr:rowOff>23281</xdr:rowOff>
    </xdr:from>
    <xdr:ext cx="660538" cy="407835"/>
    <xdr:pic>
      <xdr:nvPicPr>
        <xdr:cNvPr id="5" name="그림 4">
          <a:extLst>
            <a:ext uri="{FF2B5EF4-FFF2-40B4-BE49-F238E27FC236}">
              <a16:creationId xmlns:a16="http://schemas.microsoft.com/office/drawing/2014/main" id="{024C059C-F41F-494B-9E02-90AABFBC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252006"/>
          <a:ext cx="658882" cy="407835"/>
        </a:xfrm>
        <a:prstGeom prst="rect">
          <a:avLst/>
        </a:prstGeom>
      </xdr:spPr>
    </xdr:pic>
    <xdr:clientData/>
  </xdr:oneCellAnchor>
  <xdr:oneCellAnchor>
    <xdr:from>
      <xdr:col>59</xdr:col>
      <xdr:colOff>158836</xdr:colOff>
      <xdr:row>8</xdr:row>
      <xdr:rowOff>16345</xdr:rowOff>
    </xdr:from>
    <xdr:ext cx="866965" cy="541088"/>
    <xdr:pic>
      <xdr:nvPicPr>
        <xdr:cNvPr id="6" name="그림 5">
          <a:extLst>
            <a:ext uri="{FF2B5EF4-FFF2-40B4-BE49-F238E27FC236}">
              <a16:creationId xmlns:a16="http://schemas.microsoft.com/office/drawing/2014/main" id="{2E570DCC-B57E-4A30-94FC-47AFE5E5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7661" y="2159470"/>
          <a:ext cx="865309" cy="534462"/>
        </a:xfrm>
        <a:prstGeom prst="rect">
          <a:avLst/>
        </a:prstGeom>
      </xdr:spPr>
    </xdr:pic>
    <xdr:clientData/>
  </xdr:oneCellAnchor>
  <xdr:oneCellAnchor>
    <xdr:from>
      <xdr:col>52</xdr:col>
      <xdr:colOff>33129</xdr:colOff>
      <xdr:row>4</xdr:row>
      <xdr:rowOff>107671</xdr:rowOff>
    </xdr:from>
    <xdr:ext cx="596519" cy="268934"/>
    <xdr:pic>
      <xdr:nvPicPr>
        <xdr:cNvPr id="7" name="그림 6">
          <a:extLst>
            <a:ext uri="{FF2B5EF4-FFF2-40B4-BE49-F238E27FC236}">
              <a16:creationId xmlns:a16="http://schemas.microsoft.com/office/drawing/2014/main" id="{4C7A4AD6-60C2-48FA-B5EE-E092C747F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4504" y="1336396"/>
          <a:ext cx="596519" cy="268934"/>
        </a:xfrm>
        <a:prstGeom prst="rect">
          <a:avLst/>
        </a:prstGeom>
      </xdr:spPr>
    </xdr:pic>
    <xdr:clientData/>
  </xdr:oneCellAnchor>
  <xdr:oneCellAnchor>
    <xdr:from>
      <xdr:col>50</xdr:col>
      <xdr:colOff>66261</xdr:colOff>
      <xdr:row>4</xdr:row>
      <xdr:rowOff>54872</xdr:rowOff>
    </xdr:from>
    <xdr:ext cx="492913" cy="393400"/>
    <xdr:pic>
      <xdr:nvPicPr>
        <xdr:cNvPr id="8" name="그림 7">
          <a:extLst>
            <a:ext uri="{FF2B5EF4-FFF2-40B4-BE49-F238E27FC236}">
              <a16:creationId xmlns:a16="http://schemas.microsoft.com/office/drawing/2014/main" id="{848DA066-F257-4854-99ED-7D460931C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9936" y="1283597"/>
          <a:ext cx="492913" cy="393400"/>
        </a:xfrm>
        <a:prstGeom prst="rect">
          <a:avLst/>
        </a:prstGeom>
      </xdr:spPr>
    </xdr:pic>
    <xdr:clientData/>
  </xdr:oneCellAnchor>
  <xdr:oneCellAnchor>
    <xdr:from>
      <xdr:col>61</xdr:col>
      <xdr:colOff>159878</xdr:colOff>
      <xdr:row>4</xdr:row>
      <xdr:rowOff>115955</xdr:rowOff>
    </xdr:from>
    <xdr:ext cx="638427" cy="259294"/>
    <xdr:pic>
      <xdr:nvPicPr>
        <xdr:cNvPr id="9" name="그림 8">
          <a:extLst>
            <a:ext uri="{FF2B5EF4-FFF2-40B4-BE49-F238E27FC236}">
              <a16:creationId xmlns:a16="http://schemas.microsoft.com/office/drawing/2014/main" id="{D4F4DE06-BF65-4B15-87C2-75E5639B6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8328" y="1344680"/>
          <a:ext cx="636771" cy="259294"/>
        </a:xfrm>
        <a:prstGeom prst="rect">
          <a:avLst/>
        </a:prstGeom>
      </xdr:spPr>
    </xdr:pic>
    <xdr:clientData/>
  </xdr:oneCellAnchor>
  <xdr:oneCellAnchor>
    <xdr:from>
      <xdr:col>62</xdr:col>
      <xdr:colOff>140805</xdr:colOff>
      <xdr:row>8</xdr:row>
      <xdr:rowOff>74544</xdr:rowOff>
    </xdr:from>
    <xdr:ext cx="296103" cy="403362"/>
    <xdr:pic>
      <xdr:nvPicPr>
        <xdr:cNvPr id="10" name="그림 9">
          <a:extLst>
            <a:ext uri="{FF2B5EF4-FFF2-40B4-BE49-F238E27FC236}">
              <a16:creationId xmlns:a16="http://schemas.microsoft.com/office/drawing/2014/main" id="{F928F727-01E6-43A7-B754-98EB704E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1180" y="2217669"/>
          <a:ext cx="296103" cy="396736"/>
        </a:xfrm>
        <a:prstGeom prst="rect">
          <a:avLst/>
        </a:prstGeom>
      </xdr:spPr>
    </xdr:pic>
    <xdr:clientData/>
  </xdr:oneCellAnchor>
  <xdr:oneCellAnchor>
    <xdr:from>
      <xdr:col>64</xdr:col>
      <xdr:colOff>19050</xdr:colOff>
      <xdr:row>4</xdr:row>
      <xdr:rowOff>104776</xdr:rowOff>
    </xdr:from>
    <xdr:ext cx="647700" cy="301912"/>
    <xdr:pic>
      <xdr:nvPicPr>
        <xdr:cNvPr id="12" name="그림 11">
          <a:extLst>
            <a:ext uri="{FF2B5EF4-FFF2-40B4-BE49-F238E27FC236}">
              <a16:creationId xmlns:a16="http://schemas.microsoft.com/office/drawing/2014/main" id="{3ABDD245-A6C2-4884-9740-18244AE24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1333501"/>
          <a:ext cx="647700" cy="301912"/>
        </a:xfrm>
        <a:prstGeom prst="rect">
          <a:avLst/>
        </a:prstGeom>
      </xdr:spPr>
    </xdr:pic>
    <xdr:clientData/>
  </xdr:oneCellAnchor>
  <xdr:oneCellAnchor>
    <xdr:from>
      <xdr:col>64</xdr:col>
      <xdr:colOff>28575</xdr:colOff>
      <xdr:row>8</xdr:row>
      <xdr:rowOff>76200</xdr:rowOff>
    </xdr:from>
    <xdr:ext cx="677932" cy="371894"/>
    <xdr:pic>
      <xdr:nvPicPr>
        <xdr:cNvPr id="13" name="그림 12">
          <a:extLst>
            <a:ext uri="{FF2B5EF4-FFF2-40B4-BE49-F238E27FC236}">
              <a16:creationId xmlns:a16="http://schemas.microsoft.com/office/drawing/2014/main" id="{D84336A5-7E7B-408F-9F40-E93B46E3A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650" y="2219325"/>
          <a:ext cx="676275" cy="368581"/>
        </a:xfrm>
        <a:prstGeom prst="rect">
          <a:avLst/>
        </a:prstGeom>
      </xdr:spPr>
    </xdr:pic>
    <xdr:clientData/>
  </xdr:oneCellAnchor>
  <xdr:oneCellAnchor>
    <xdr:from>
      <xdr:col>50</xdr:col>
      <xdr:colOff>271981</xdr:colOff>
      <xdr:row>8</xdr:row>
      <xdr:rowOff>120358</xdr:rowOff>
    </xdr:from>
    <xdr:ext cx="782704" cy="255725"/>
    <xdr:pic>
      <xdr:nvPicPr>
        <xdr:cNvPr id="14" name="그림 13">
          <a:extLst>
            <a:ext uri="{FF2B5EF4-FFF2-40B4-BE49-F238E27FC236}">
              <a16:creationId xmlns:a16="http://schemas.microsoft.com/office/drawing/2014/main" id="{77A5429B-56BE-4879-B366-59E52F0352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9076394" y="1694054"/>
          <a:ext cx="782704" cy="255725"/>
        </a:xfrm>
        <a:prstGeom prst="rect">
          <a:avLst/>
        </a:prstGeom>
      </xdr:spPr>
    </xdr:pic>
    <xdr:clientData/>
  </xdr:oneCellAnchor>
  <xdr:twoCellAnchor editAs="oneCell">
    <xdr:from>
      <xdr:col>55</xdr:col>
      <xdr:colOff>273326</xdr:colOff>
      <xdr:row>8</xdr:row>
      <xdr:rowOff>16565</xdr:rowOff>
    </xdr:from>
    <xdr:to>
      <xdr:col>58</xdr:col>
      <xdr:colOff>111244</xdr:colOff>
      <xdr:row>9</xdr:row>
      <xdr:rowOff>165652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28281E8F-C04D-4A87-A0CF-B877F9041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2848" y="1590261"/>
          <a:ext cx="806983" cy="381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14654</xdr:colOff>
      <xdr:row>17</xdr:row>
      <xdr:rowOff>37501</xdr:rowOff>
    </xdr:from>
    <xdr:to>
      <xdr:col>4</xdr:col>
      <xdr:colOff>15798</xdr:colOff>
      <xdr:row>39</xdr:row>
      <xdr:rowOff>33442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4654" y="3349270"/>
          <a:ext cx="2147932" cy="467051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14051</xdr:colOff>
      <xdr:row>17</xdr:row>
      <xdr:rowOff>33019</xdr:rowOff>
    </xdr:from>
    <xdr:to>
      <xdr:col>7</xdr:col>
      <xdr:colOff>45364</xdr:colOff>
      <xdr:row>39</xdr:row>
      <xdr:rowOff>28960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2160839" y="3344788"/>
          <a:ext cx="2134140" cy="467051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43616</xdr:colOff>
      <xdr:row>17</xdr:row>
      <xdr:rowOff>37501</xdr:rowOff>
    </xdr:from>
    <xdr:to>
      <xdr:col>13</xdr:col>
      <xdr:colOff>10711</xdr:colOff>
      <xdr:row>39</xdr:row>
      <xdr:rowOff>29308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4293231" y="3371251"/>
          <a:ext cx="2165172" cy="4666384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18</xdr:col>
      <xdr:colOff>373673</xdr:colOff>
      <xdr:row>4</xdr:row>
      <xdr:rowOff>36634</xdr:rowOff>
    </xdr:from>
    <xdr:to>
      <xdr:col>20</xdr:col>
      <xdr:colOff>312154</xdr:colOff>
      <xdr:row>5</xdr:row>
      <xdr:rowOff>113998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8154865" y="1033096"/>
          <a:ext cx="847019" cy="2751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66191</xdr:colOff>
      <xdr:row>0</xdr:row>
      <xdr:rowOff>179582</xdr:rowOff>
    </xdr:from>
    <xdr:to>
      <xdr:col>19</xdr:col>
      <xdr:colOff>438978</xdr:colOff>
      <xdr:row>2</xdr:row>
      <xdr:rowOff>4010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4809641" y="179582"/>
          <a:ext cx="1382437" cy="600716"/>
          <a:chOff x="5173770" y="181154"/>
          <a:chExt cx="1696562" cy="590372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5173770" y="236957"/>
            <a:ext cx="1691701" cy="516350"/>
          </a:xfrm>
          <a:prstGeom prst="rect">
            <a:avLst/>
          </a:prstGeom>
          <a:solidFill>
            <a:sysClr val="window" lastClr="FFFFFF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CxnSpPr/>
        </xdr:nvCxnSpPr>
        <xdr:spPr>
          <a:xfrm flipH="1">
            <a:off x="5671062" y="224371"/>
            <a:ext cx="117" cy="54715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>
            <a:off x="5620009" y="181154"/>
            <a:ext cx="1250323" cy="2938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rIns="0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en-US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기 술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책 임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자</a:t>
            </a:r>
            <a:endParaRPr lang="ko-KR" altLang="ko-KR" sz="1000" b="1" u="none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  <a:p>
            <a:endParaRPr lang="ko-KR" altLang="en-US" sz="900" b="1" u="none"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</xdr:grpSp>
    <xdr:clientData/>
  </xdr:twoCellAnchor>
  <xdr:twoCellAnchor editAs="oneCell">
    <xdr:from>
      <xdr:col>29</xdr:col>
      <xdr:colOff>8283</xdr:colOff>
      <xdr:row>32</xdr:row>
      <xdr:rowOff>226139</xdr:rowOff>
    </xdr:from>
    <xdr:to>
      <xdr:col>31</xdr:col>
      <xdr:colOff>281610</xdr:colOff>
      <xdr:row>37</xdr:row>
      <xdr:rowOff>99129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6512"/>
                  </a14:imgEffect>
                  <a14:imgEffect>
                    <a14:saturation sat="30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8848" y="8086335"/>
          <a:ext cx="919370" cy="916599"/>
        </a:xfrm>
        <a:prstGeom prst="rect">
          <a:avLst/>
        </a:prstGeom>
      </xdr:spPr>
    </xdr:pic>
    <xdr:clientData/>
  </xdr:twoCellAnchor>
  <xdr:twoCellAnchor editAs="oneCell">
    <xdr:from>
      <xdr:col>33</xdr:col>
      <xdr:colOff>241133</xdr:colOff>
      <xdr:row>16</xdr:row>
      <xdr:rowOff>82361</xdr:rowOff>
    </xdr:from>
    <xdr:to>
      <xdr:col>35</xdr:col>
      <xdr:colOff>16025</xdr:colOff>
      <xdr:row>18</xdr:row>
      <xdr:rowOff>86213</xdr:rowOff>
    </xdr:to>
    <xdr:pic>
      <xdr:nvPicPr>
        <xdr:cNvPr id="20" name="Picture 3" descr="C:\Users\kys\Desktop\박택근과장 서명.png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3176" y="4265078"/>
          <a:ext cx="420935" cy="467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149086</xdr:colOff>
      <xdr:row>1</xdr:row>
      <xdr:rowOff>189107</xdr:rowOff>
    </xdr:from>
    <xdr:to>
      <xdr:col>19</xdr:col>
      <xdr:colOff>455433</xdr:colOff>
      <xdr:row>1</xdr:row>
      <xdr:rowOff>189107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CxnSpPr/>
      </xdr:nvCxnSpPr>
      <xdr:spPr>
        <a:xfrm>
          <a:off x="5226325" y="396172"/>
          <a:ext cx="894412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207066</xdr:colOff>
      <xdr:row>0</xdr:row>
      <xdr:rowOff>140804</xdr:rowOff>
    </xdr:from>
    <xdr:to>
      <xdr:col>41</xdr:col>
      <xdr:colOff>205023</xdr:colOff>
      <xdr:row>1</xdr:row>
      <xdr:rowOff>147593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GrpSpPr/>
      </xdr:nvGrpSpPr>
      <xdr:grpSpPr>
        <a:xfrm>
          <a:off x="12789591" y="140804"/>
          <a:ext cx="1293357" cy="221102"/>
          <a:chOff x="5594120" y="183957"/>
          <a:chExt cx="1292529" cy="213854"/>
        </a:xfrm>
      </xdr:grpSpPr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21</xdr:col>
      <xdr:colOff>24848</xdr:colOff>
      <xdr:row>13</xdr:row>
      <xdr:rowOff>16565</xdr:rowOff>
    </xdr:from>
    <xdr:to>
      <xdr:col>25</xdr:col>
      <xdr:colOff>369868</xdr:colOff>
      <xdr:row>30</xdr:row>
      <xdr:rowOff>235640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848" y="3503543"/>
          <a:ext cx="1637107" cy="43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318517</xdr:colOff>
      <xdr:row>32</xdr:row>
      <xdr:rowOff>208306</xdr:rowOff>
    </xdr:from>
    <xdr:to>
      <xdr:col>23</xdr:col>
      <xdr:colOff>239102</xdr:colOff>
      <xdr:row>34</xdr:row>
      <xdr:rowOff>144738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1705" y="7994994"/>
          <a:ext cx="563523" cy="382916"/>
        </a:xfrm>
        <a:prstGeom prst="rect">
          <a:avLst/>
        </a:prstGeom>
      </xdr:spPr>
    </xdr:pic>
    <xdr:clientData/>
  </xdr:twoCellAnchor>
  <xdr:twoCellAnchor editAs="oneCell">
    <xdr:from>
      <xdr:col>21</xdr:col>
      <xdr:colOff>132034</xdr:colOff>
      <xdr:row>34</xdr:row>
      <xdr:rowOff>57976</xdr:rowOff>
    </xdr:from>
    <xdr:to>
      <xdr:col>24</xdr:col>
      <xdr:colOff>48128</xdr:colOff>
      <xdr:row>39</xdr:row>
      <xdr:rowOff>57380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09034" y="8365433"/>
          <a:ext cx="885160" cy="910491"/>
        </a:xfrm>
        <a:prstGeom prst="rect">
          <a:avLst/>
        </a:prstGeom>
      </xdr:spPr>
    </xdr:pic>
    <xdr:clientData/>
  </xdr:twoCellAnchor>
  <xdr:twoCellAnchor editAs="oneCell">
    <xdr:from>
      <xdr:col>18</xdr:col>
      <xdr:colOff>31824</xdr:colOff>
      <xdr:row>1</xdr:row>
      <xdr:rowOff>246049</xdr:rowOff>
    </xdr:from>
    <xdr:to>
      <xdr:col>19</xdr:col>
      <xdr:colOff>381473</xdr:colOff>
      <xdr:row>1</xdr:row>
      <xdr:rowOff>521239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5332694" y="453114"/>
          <a:ext cx="846605" cy="275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130</xdr:col>
          <xdr:colOff>0</xdr:colOff>
          <xdr:row>44</xdr:row>
          <xdr:rowOff>0</xdr:rowOff>
        </xdr:from>
        <xdr:to>
          <xdr:col>132</xdr:col>
          <xdr:colOff>133349</xdr:colOff>
          <xdr:row>63</xdr:row>
          <xdr:rowOff>190500</xdr:rowOff>
        </xdr:to>
        <xdr:pic>
          <xdr:nvPicPr>
            <xdr:cNvPr id="48" name="그림 47">
              <a:extLst>
                <a:ext uri="{FF2B5EF4-FFF2-40B4-BE49-F238E27FC236}">
                  <a16:creationId xmlns:a16="http://schemas.microsoft.com/office/drawing/2014/main" id="{00000000-0008-0000-0600-00003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8793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60474225" y="10229850"/>
              <a:ext cx="1666875" cy="4171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356907</xdr:colOff>
          <xdr:row>13</xdr:row>
          <xdr:rowOff>22411</xdr:rowOff>
        </xdr:from>
        <xdr:to>
          <xdr:col>30</xdr:col>
          <xdr:colOff>310963</xdr:colOff>
          <xdr:row>30</xdr:row>
          <xdr:rowOff>236883</xdr:rowOff>
        </xdr:to>
        <xdr:pic>
          <xdr:nvPicPr>
            <xdr:cNvPr id="49" name="그림 48">
              <a:extLst>
                <a:ext uri="{FF2B5EF4-FFF2-40B4-BE49-F238E27FC236}">
                  <a16:creationId xmlns:a16="http://schemas.microsoft.com/office/drawing/2014/main" id="{00000000-0008-0000-0600-00003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8794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8100732" y="3479986"/>
              <a:ext cx="1668556" cy="43590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136922</xdr:colOff>
      <xdr:row>28</xdr:row>
      <xdr:rowOff>173934</xdr:rowOff>
    </xdr:from>
    <xdr:to>
      <xdr:col>19</xdr:col>
      <xdr:colOff>446949</xdr:colOff>
      <xdr:row>30</xdr:row>
      <xdr:rowOff>33130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5DA2E5A5-8C8D-4AF2-8F70-561B55168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7792" y="7313543"/>
          <a:ext cx="806983" cy="381000"/>
        </a:xfrm>
        <a:prstGeom prst="rect">
          <a:avLst/>
        </a:prstGeom>
      </xdr:spPr>
    </xdr:pic>
    <xdr:clientData/>
  </xdr:twoCellAnchor>
  <xdr:twoCellAnchor editAs="oneCell">
    <xdr:from>
      <xdr:col>37</xdr:col>
      <xdr:colOff>120512</xdr:colOff>
      <xdr:row>2</xdr:row>
      <xdr:rowOff>147430</xdr:rowOff>
    </xdr:from>
    <xdr:to>
      <xdr:col>40</xdr:col>
      <xdr:colOff>100221</xdr:colOff>
      <xdr:row>6</xdr:row>
      <xdr:rowOff>188246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E43C5318-593A-48BA-BB91-357F21A3D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3037" y="918955"/>
          <a:ext cx="951259" cy="955216"/>
        </a:xfrm>
        <a:prstGeom prst="rect">
          <a:avLst/>
        </a:prstGeom>
      </xdr:spPr>
    </xdr:pic>
    <xdr:clientData/>
  </xdr:twoCellAnchor>
  <xdr:oneCellAnchor>
    <xdr:from>
      <xdr:col>24</xdr:col>
      <xdr:colOff>228600</xdr:colOff>
      <xdr:row>3</xdr:row>
      <xdr:rowOff>57150</xdr:rowOff>
    </xdr:from>
    <xdr:ext cx="985142" cy="666750"/>
    <xdr:pic>
      <xdr:nvPicPr>
        <xdr:cNvPr id="90" name="그림 89">
          <a:extLst>
            <a:ext uri="{FF2B5EF4-FFF2-40B4-BE49-F238E27FC236}">
              <a16:creationId xmlns:a16="http://schemas.microsoft.com/office/drawing/2014/main" id="{BF219973-1D22-4D02-93B9-E73B7BCC5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0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23</xdr:col>
      <xdr:colOff>61704</xdr:colOff>
      <xdr:row>4</xdr:row>
      <xdr:rowOff>77443</xdr:rowOff>
    </xdr:from>
    <xdr:ext cx="596520" cy="258849"/>
    <xdr:pic>
      <xdr:nvPicPr>
        <xdr:cNvPr id="91" name="그림 90">
          <a:extLst>
            <a:ext uri="{FF2B5EF4-FFF2-40B4-BE49-F238E27FC236}">
              <a16:creationId xmlns:a16="http://schemas.microsoft.com/office/drawing/2014/main" id="{3A6E4B48-3C70-4AE2-9296-4061E3CB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95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21</xdr:col>
      <xdr:colOff>85311</xdr:colOff>
      <xdr:row>4</xdr:row>
      <xdr:rowOff>22160</xdr:rowOff>
    </xdr:from>
    <xdr:ext cx="492913" cy="375519"/>
    <xdr:pic>
      <xdr:nvPicPr>
        <xdr:cNvPr id="92" name="그림 91">
          <a:extLst>
            <a:ext uri="{FF2B5EF4-FFF2-40B4-BE49-F238E27FC236}">
              <a16:creationId xmlns:a16="http://schemas.microsoft.com/office/drawing/2014/main" id="{E5E1592D-727E-4999-9E63-12412A552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26</xdr:col>
      <xdr:colOff>335055</xdr:colOff>
      <xdr:row>4</xdr:row>
      <xdr:rowOff>96930</xdr:rowOff>
    </xdr:from>
    <xdr:to>
      <xdr:col>29</xdr:col>
      <xdr:colOff>44950</xdr:colOff>
      <xdr:row>5</xdr:row>
      <xdr:rowOff>131668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5BDE77D6-EAE8-4D74-8188-4F8632260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33</xdr:col>
      <xdr:colOff>140805</xdr:colOff>
      <xdr:row>8</xdr:row>
      <xdr:rowOff>160269</xdr:rowOff>
    </xdr:from>
    <xdr:to>
      <xdr:col>34</xdr:col>
      <xdr:colOff>113058</xdr:colOff>
      <xdr:row>10</xdr:row>
      <xdr:rowOff>14080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D617D49B-145F-4EAE-A579-BB83AA18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5055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4</xdr:row>
      <xdr:rowOff>9524</xdr:rowOff>
    </xdr:from>
    <xdr:to>
      <xdr:col>31</xdr:col>
      <xdr:colOff>28575</xdr:colOff>
      <xdr:row>5</xdr:row>
      <xdr:rowOff>149505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5CBA5C6A-3EE9-4EEC-AB83-E31A63A3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9</xdr:row>
      <xdr:rowOff>0</xdr:rowOff>
    </xdr:from>
    <xdr:to>
      <xdr:col>23</xdr:col>
      <xdr:colOff>204081</xdr:colOff>
      <xdr:row>9</xdr:row>
      <xdr:rowOff>275190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FA8AD52B-B318-4D4D-B5C4-76A54AEE7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943725" y="2209800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72257</xdr:colOff>
      <xdr:row>3</xdr:row>
      <xdr:rowOff>190499</xdr:rowOff>
    </xdr:from>
    <xdr:to>
      <xdr:col>32</xdr:col>
      <xdr:colOff>320742</xdr:colOff>
      <xdr:row>5</xdr:row>
      <xdr:rowOff>184587</xdr:rowOff>
    </xdr:to>
    <xdr:pic>
      <xdr:nvPicPr>
        <xdr:cNvPr id="97" name="Picture 1">
          <a:extLst>
            <a:ext uri="{FF2B5EF4-FFF2-40B4-BE49-F238E27FC236}">
              <a16:creationId xmlns:a16="http://schemas.microsoft.com/office/drawing/2014/main" id="{853687F1-5ED3-41B7-9B5C-06D34ED33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30707" y="1142999"/>
          <a:ext cx="572335" cy="4512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30</xdr:col>
      <xdr:colOff>315784</xdr:colOff>
      <xdr:row>8</xdr:row>
      <xdr:rowOff>137948</xdr:rowOff>
    </xdr:from>
    <xdr:to>
      <xdr:col>32</xdr:col>
      <xdr:colOff>367533</xdr:colOff>
      <xdr:row>9</xdr:row>
      <xdr:rowOff>309399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EFCD028-3B1B-44E5-8CA2-4654E5FBD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1334" y="2138198"/>
          <a:ext cx="699449" cy="4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275897</xdr:colOff>
      <xdr:row>8</xdr:row>
      <xdr:rowOff>85397</xdr:rowOff>
    </xdr:from>
    <xdr:to>
      <xdr:col>25</xdr:col>
      <xdr:colOff>118675</xdr:colOff>
      <xdr:row>9</xdr:row>
      <xdr:rowOff>259414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1CB90EFC-F3BB-4580-9163-33E4E31D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247" y="2085647"/>
          <a:ext cx="814328" cy="402617"/>
        </a:xfrm>
        <a:prstGeom prst="rect">
          <a:avLst/>
        </a:prstGeom>
      </xdr:spPr>
    </xdr:pic>
    <xdr:clientData/>
  </xdr:twoCellAnchor>
  <xdr:twoCellAnchor editAs="oneCell">
    <xdr:from>
      <xdr:col>26</xdr:col>
      <xdr:colOff>210207</xdr:colOff>
      <xdr:row>8</xdr:row>
      <xdr:rowOff>151086</xdr:rowOff>
    </xdr:from>
    <xdr:to>
      <xdr:col>29</xdr:col>
      <xdr:colOff>51671</xdr:colOff>
      <xdr:row>10</xdr:row>
      <xdr:rowOff>10778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2DDC7FCC-BD69-4C7F-B28B-8168677E9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4157" y="2151336"/>
          <a:ext cx="813014" cy="402617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</xdr:row>
      <xdr:rowOff>47625</xdr:rowOff>
    </xdr:from>
    <xdr:to>
      <xdr:col>34</xdr:col>
      <xdr:colOff>254000</xdr:colOff>
      <xdr:row>5</xdr:row>
      <xdr:rowOff>190500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4F01ADEC-CCDC-4B6E-98AE-1EC73938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backgroundRemoval t="10000" b="90000" l="10000" r="90000">
                      <a14:foregroundMark x1="45089" y1="33333" x2="45089" y2="33333"/>
                      <a14:foregroundMark x1="54464" y1="28472" x2="54464" y2="28472"/>
                      <a14:foregroundMark x1="50446" y1="48611" x2="50446" y2="48611"/>
                      <a14:foregroundMark x1="72768" y1="40972" x2="72768" y2="40972"/>
                      <a14:foregroundMark x1="63839" y1="46528" x2="63839" y2="46528"/>
                      <a14:foregroundMark x1="66964" y1="43056" x2="66964" y2="43056"/>
                      <a14:foregroundMark x1="36161" y1="79861" x2="36161" y2="79861"/>
                      <a14:foregroundMark x1="32143" y1="55556" x2="32143" y2="55556"/>
                      <a14:foregroundMark x1="38839" y1="41667" x2="38839" y2="41667"/>
                      <a14:foregroundMark x1="46429" y1="29861" x2="46429" y2="29861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0850" y="1276350"/>
          <a:ext cx="577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38100</xdr:colOff>
      <xdr:row>4</xdr:row>
      <xdr:rowOff>38100</xdr:rowOff>
    </xdr:from>
    <xdr:to>
      <xdr:col>37</xdr:col>
      <xdr:colOff>1436</xdr:colOff>
      <xdr:row>5</xdr:row>
      <xdr:rowOff>171450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5E969B4-0403-4A21-AED3-A0FC09B1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BEBA8EAE-BF5A-486C-A8C5-ECC9F3942E4B}">
              <a14:imgProps xmlns:a14="http://schemas.microsoft.com/office/drawing/2010/main">
                <a14:imgLayer r:embed="rId30">
                  <a14:imgEffect>
                    <a14:backgroundRemoval t="9244" b="89916" l="6507" r="89726">
                      <a14:foregroundMark x1="14041" y1="23529" x2="14041" y2="23529"/>
                      <a14:foregroundMark x1="6507" y1="44538" x2="6507" y2="44538"/>
                      <a14:foregroundMark x1="24315" y1="26891" x2="24315" y2="26891"/>
                      <a14:foregroundMark x1="26370" y1="68908" x2="26370" y2="68908"/>
                      <a14:foregroundMark x1="55822" y1="68908" x2="55822" y2="68908"/>
                      <a14:foregroundMark x1="72603" y1="31092" x2="72603" y2="31092"/>
                      <a14:foregroundMark x1="84932" y1="57983" x2="84932" y2="57983"/>
                      <a14:foregroundMark x1="43151" y1="18487" x2="43151" y2="18487"/>
                      <a14:foregroundMark x1="15411" y1="21008" x2="15411" y2="21008"/>
                    </a14:backgroundRemoval>
                  </a14:imgEffect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50" y="1266825"/>
          <a:ext cx="60151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66675</xdr:colOff>
      <xdr:row>4</xdr:row>
      <xdr:rowOff>0</xdr:rowOff>
    </xdr:from>
    <xdr:to>
      <xdr:col>35</xdr:col>
      <xdr:colOff>650775</xdr:colOff>
      <xdr:row>5</xdr:row>
      <xdr:rowOff>190500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88332F9D-5557-449F-B775-97AFBC2B9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BEBA8EAE-BF5A-486C-A8C5-ECC9F3942E4B}">
              <a14:imgProps xmlns:a14="http://schemas.microsoft.com/office/drawing/2010/main">
                <a14:imgLayer r:embed="rId3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1228725"/>
          <a:ext cx="584100" cy="4191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627</xdr:colOff>
      <xdr:row>1</xdr:row>
      <xdr:rowOff>4027</xdr:rowOff>
    </xdr:from>
    <xdr:to>
      <xdr:col>19</xdr:col>
      <xdr:colOff>695324</xdr:colOff>
      <xdr:row>1</xdr:row>
      <xdr:rowOff>514348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4877427" y="227865"/>
          <a:ext cx="1666247" cy="510321"/>
          <a:chOff x="5150530" y="203428"/>
          <a:chExt cx="1896723" cy="560048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/>
        </xdr:nvSpPr>
        <xdr:spPr>
          <a:xfrm>
            <a:off x="5150530" y="236957"/>
            <a:ext cx="1691700" cy="516350"/>
          </a:xfrm>
          <a:prstGeom prst="rect">
            <a:avLst/>
          </a:prstGeom>
          <a:solidFill>
            <a:sysClr val="window" lastClr="FFFFFF"/>
          </a:solidFill>
          <a:ln w="317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altLang="ko-KR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CxnSpPr/>
        </xdr:nvCxnSpPr>
        <xdr:spPr>
          <a:xfrm flipH="1">
            <a:off x="5909157" y="216321"/>
            <a:ext cx="117" cy="547155"/>
          </a:xfrm>
          <a:prstGeom prst="line">
            <a:avLst/>
          </a:prstGeom>
          <a:ln w="95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 txBox="1"/>
        </xdr:nvSpPr>
        <xdr:spPr>
          <a:xfrm>
            <a:off x="5941318" y="203428"/>
            <a:ext cx="1105935" cy="2547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rIns="0" rtlCol="0" anchor="t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기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술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책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임</a:t>
            </a:r>
            <a:r>
              <a:rPr lang="en-US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 </a:t>
            </a:r>
            <a:r>
              <a:rPr lang="ko-KR" altLang="ko-KR" sz="1000" b="1" u="none">
                <a:solidFill>
                  <a:schemeClr val="tx1"/>
                </a:solidFill>
                <a:effectLst/>
                <a:latin typeface="돋움" panose="020B0600000101010101" pitchFamily="50" charset="-127"/>
                <a:ea typeface="돋움" panose="020B0600000101010101" pitchFamily="50" charset="-127"/>
                <a:cs typeface="+mn-cs"/>
              </a:rPr>
              <a:t>자</a:t>
            </a:r>
            <a:endParaRPr lang="ko-KR" altLang="ko-KR" sz="1000" b="1" u="none">
              <a:effectLst/>
              <a:latin typeface="돋움" panose="020B0600000101010101" pitchFamily="50" charset="-127"/>
              <a:ea typeface="돋움" panose="020B0600000101010101" pitchFamily="50" charset="-127"/>
            </a:endParaRPr>
          </a:p>
        </xdr:txBody>
      </xdr:sp>
    </xdr:grpSp>
    <xdr:clientData/>
  </xdr:twoCellAnchor>
  <xdr:twoCellAnchor editAs="oneCell">
    <xdr:from>
      <xdr:col>36</xdr:col>
      <xdr:colOff>57150</xdr:colOff>
      <xdr:row>1</xdr:row>
      <xdr:rowOff>342900</xdr:rowOff>
    </xdr:from>
    <xdr:to>
      <xdr:col>37</xdr:col>
      <xdr:colOff>323850</xdr:colOff>
      <xdr:row>5</xdr:row>
      <xdr:rowOff>157186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2025" y="571500"/>
          <a:ext cx="952500" cy="957286"/>
        </a:xfrm>
        <a:prstGeom prst="rect">
          <a:avLst/>
        </a:prstGeom>
      </xdr:spPr>
    </xdr:pic>
    <xdr:clientData/>
  </xdr:twoCellAnchor>
  <xdr:twoCellAnchor>
    <xdr:from>
      <xdr:col>17</xdr:col>
      <xdr:colOff>391149</xdr:colOff>
      <xdr:row>1</xdr:row>
      <xdr:rowOff>242153</xdr:rowOff>
    </xdr:from>
    <xdr:to>
      <xdr:col>20</xdr:col>
      <xdr:colOff>4815</xdr:colOff>
      <xdr:row>1</xdr:row>
      <xdr:rowOff>242153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/>
      </xdr:nvCxnSpPr>
      <xdr:spPr>
        <a:xfrm>
          <a:off x="7106274" y="470753"/>
          <a:ext cx="1013841" cy="0"/>
        </a:xfrm>
        <a:prstGeom prst="line">
          <a:avLst/>
        </a:pr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</xdr:row>
      <xdr:rowOff>0</xdr:rowOff>
    </xdr:from>
    <xdr:to>
      <xdr:col>24</xdr:col>
      <xdr:colOff>263829</xdr:colOff>
      <xdr:row>1</xdr:row>
      <xdr:rowOff>213854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pSpPr/>
      </xdr:nvGrpSpPr>
      <xdr:grpSpPr>
        <a:xfrm>
          <a:off x="7029450" y="223838"/>
          <a:ext cx="1292529" cy="213854"/>
          <a:chOff x="5594120" y="183957"/>
          <a:chExt cx="1292529" cy="213854"/>
        </a:xfrm>
      </xdr:grpSpPr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/>
        </xdr:nvSpPr>
        <xdr:spPr bwMode="auto">
          <a:xfrm>
            <a:off x="5594120" y="183957"/>
            <a:ext cx="540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0" tIns="0" rIns="0" bIns="0" rtlCol="0" anchor="ctr" upright="1"/>
          <a:lstStyle/>
          <a:p>
            <a:pPr algn="ctr"/>
            <a:r>
              <a:rPr lang="ko-KR" altLang="en-US" sz="1000" b="1" spc="60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재발행</a:t>
            </a:r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/>
        </xdr:nvSpPr>
        <xdr:spPr bwMode="auto">
          <a:xfrm>
            <a:off x="6130649" y="183981"/>
            <a:ext cx="756000" cy="213830"/>
          </a:xfrm>
          <a:prstGeom prst="rect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ko-KR" sz="850" b="1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2022. 11.</a:t>
            </a:r>
            <a:r>
              <a:rPr lang="en-US" altLang="ko-KR" sz="850" b="1" baseline="0">
                <a:solidFill>
                  <a:srgbClr val="00589A"/>
                </a:solidFill>
                <a:latin typeface="HY중고딕" panose="02030600000101010101" pitchFamily="18" charset="-127"/>
                <a:ea typeface="HY중고딕" panose="02030600000101010101" pitchFamily="18" charset="-127"/>
              </a:rPr>
              <a:t> 26</a:t>
            </a:r>
            <a:endParaRPr lang="ko-KR" altLang="en-US" sz="850" b="1">
              <a:solidFill>
                <a:srgbClr val="00589A"/>
              </a:solidFill>
              <a:latin typeface="HY중고딕" panose="02030600000101010101" pitchFamily="18" charset="-127"/>
              <a:ea typeface="HY중고딕" panose="02030600000101010101" pitchFamily="18" charset="-127"/>
            </a:endParaRPr>
          </a:p>
        </xdr:txBody>
      </xdr:sp>
    </xdr:grpSp>
    <xdr:clientData/>
  </xdr:twoCellAnchor>
  <xdr:twoCellAnchor editAs="oneCell">
    <xdr:from>
      <xdr:col>30</xdr:col>
      <xdr:colOff>333376</xdr:colOff>
      <xdr:row>34</xdr:row>
      <xdr:rowOff>76778</xdr:rowOff>
    </xdr:from>
    <xdr:to>
      <xdr:col>32</xdr:col>
      <xdr:colOff>161926</xdr:colOff>
      <xdr:row>35</xdr:row>
      <xdr:rowOff>129424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1" y="8077778"/>
          <a:ext cx="514350" cy="243146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85726</xdr:colOff>
      <xdr:row>30</xdr:row>
      <xdr:rowOff>271148</xdr:rowOff>
    </xdr:from>
    <xdr:to>
      <xdr:col>27</xdr:col>
      <xdr:colOff>276225</xdr:colOff>
      <xdr:row>35</xdr:row>
      <xdr:rowOff>66000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776" y="7681598"/>
          <a:ext cx="876299" cy="880702"/>
        </a:xfrm>
        <a:prstGeom prst="rect">
          <a:avLst/>
        </a:prstGeom>
      </xdr:spPr>
    </xdr:pic>
    <xdr:clientData/>
  </xdr:twoCellAnchor>
  <xdr:oneCellAnchor>
    <xdr:from>
      <xdr:col>24</xdr:col>
      <xdr:colOff>228600</xdr:colOff>
      <xdr:row>3</xdr:row>
      <xdr:rowOff>57150</xdr:rowOff>
    </xdr:from>
    <xdr:ext cx="985142" cy="666750"/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1009650"/>
          <a:ext cx="985142" cy="666750"/>
        </a:xfrm>
        <a:prstGeom prst="rect">
          <a:avLst/>
        </a:prstGeom>
      </xdr:spPr>
    </xdr:pic>
    <xdr:clientData/>
  </xdr:oneCellAnchor>
  <xdr:oneCellAnchor>
    <xdr:from>
      <xdr:col>23</xdr:col>
      <xdr:colOff>61704</xdr:colOff>
      <xdr:row>4</xdr:row>
      <xdr:rowOff>77443</xdr:rowOff>
    </xdr:from>
    <xdr:ext cx="596520" cy="258849"/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7404" y="1239493"/>
          <a:ext cx="596520" cy="258849"/>
        </a:xfrm>
        <a:prstGeom prst="rect">
          <a:avLst/>
        </a:prstGeom>
      </xdr:spPr>
    </xdr:pic>
    <xdr:clientData/>
  </xdr:oneCellAnchor>
  <xdr:oneCellAnchor>
    <xdr:from>
      <xdr:col>21</xdr:col>
      <xdr:colOff>85311</xdr:colOff>
      <xdr:row>4</xdr:row>
      <xdr:rowOff>22160</xdr:rowOff>
    </xdr:from>
    <xdr:ext cx="492913" cy="375519"/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21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26</xdr:col>
      <xdr:colOff>335055</xdr:colOff>
      <xdr:row>4</xdr:row>
      <xdr:rowOff>96930</xdr:rowOff>
    </xdr:from>
    <xdr:to>
      <xdr:col>28</xdr:col>
      <xdr:colOff>340225</xdr:colOff>
      <xdr:row>5</xdr:row>
      <xdr:rowOff>150718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9005" y="1258980"/>
          <a:ext cx="690970" cy="26333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14</xdr:row>
      <xdr:rowOff>8282</xdr:rowOff>
    </xdr:from>
    <xdr:to>
      <xdr:col>25</xdr:col>
      <xdr:colOff>265507</xdr:colOff>
      <xdr:row>32</xdr:row>
      <xdr:rowOff>96492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3608732"/>
          <a:ext cx="1637107" cy="439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140805</xdr:colOff>
      <xdr:row>8</xdr:row>
      <xdr:rowOff>160269</xdr:rowOff>
    </xdr:from>
    <xdr:to>
      <xdr:col>34</xdr:col>
      <xdr:colOff>122583</xdr:colOff>
      <xdr:row>9</xdr:row>
      <xdr:rowOff>347455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10000" b="90000" l="10000" r="90000">
                      <a14:foregroundMark x1="67568" y1="30508" x2="67568" y2="30508"/>
                      <a14:foregroundMark x1="75676" y1="79661" x2="75676" y2="79661"/>
                      <a14:backgroundMark x1="32432" y1="37288" x2="32432" y2="37288"/>
                      <a14:backgroundMark x1="72973" y1="23729" x2="72973" y2="237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7430" y="2160519"/>
          <a:ext cx="296103" cy="396736"/>
        </a:xfrm>
        <a:prstGeom prst="rect">
          <a:avLst/>
        </a:prstGeom>
      </xdr:spPr>
    </xdr:pic>
    <xdr:clientData/>
  </xdr:twoCellAnchor>
  <xdr:twoCellAnchor editAs="oneCell">
    <xdr:from>
      <xdr:col>21</xdr:col>
      <xdr:colOff>85725</xdr:colOff>
      <xdr:row>32</xdr:row>
      <xdr:rowOff>9525</xdr:rowOff>
    </xdr:from>
    <xdr:to>
      <xdr:col>23</xdr:col>
      <xdr:colOff>285085</xdr:colOff>
      <xdr:row>36</xdr:row>
      <xdr:rowOff>145074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15175" y="7915275"/>
          <a:ext cx="885160" cy="916599"/>
        </a:xfrm>
        <a:prstGeom prst="rect">
          <a:avLst/>
        </a:prstGeom>
      </xdr:spPr>
    </xdr:pic>
    <xdr:clientData/>
  </xdr:twoCellAnchor>
  <xdr:twoCellAnchor editAs="oneCell">
    <xdr:from>
      <xdr:col>28</xdr:col>
      <xdr:colOff>333375</xdr:colOff>
      <xdr:row>4</xdr:row>
      <xdr:rowOff>9524</xdr:rowOff>
    </xdr:from>
    <xdr:to>
      <xdr:col>30</xdr:col>
      <xdr:colOff>323850</xdr:colOff>
      <xdr:row>5</xdr:row>
      <xdr:rowOff>168555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18</xdr:col>
      <xdr:colOff>57777</xdr:colOff>
      <xdr:row>1</xdr:row>
      <xdr:rowOff>242152</xdr:rowOff>
    </xdr:from>
    <xdr:to>
      <xdr:col>19</xdr:col>
      <xdr:colOff>633333</xdr:colOff>
      <xdr:row>2</xdr:row>
      <xdr:rowOff>2992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5582277" y="470752"/>
          <a:ext cx="851781" cy="275190"/>
        </a:xfrm>
        <a:prstGeom prst="rect">
          <a:avLst/>
        </a:prstGeom>
      </xdr:spPr>
    </xdr:pic>
    <xdr:clientData/>
  </xdr:twoCellAnchor>
  <xdr:twoCellAnchor editAs="oneCell">
    <xdr:from>
      <xdr:col>20</xdr:col>
      <xdr:colOff>342900</xdr:colOff>
      <xdr:row>9</xdr:row>
      <xdr:rowOff>0</xdr:rowOff>
    </xdr:from>
    <xdr:to>
      <xdr:col>23</xdr:col>
      <xdr:colOff>80256</xdr:colOff>
      <xdr:row>9</xdr:row>
      <xdr:rowOff>275190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929" b="89286" l="2697" r="97528">
                      <a14:foregroundMark x1="3146" y1="45536" x2="3146" y2="45536"/>
                      <a14:foregroundMark x1="11685" y1="45536" x2="11685" y2="45536"/>
                      <a14:foregroundMark x1="15056" y1="39286" x2="15056" y2="39286"/>
                      <a14:foregroundMark x1="22472" y1="82143" x2="22472" y2="82143"/>
                      <a14:foregroundMark x1="26742" y1="86607" x2="26742" y2="86607"/>
                      <a14:foregroundMark x1="28090" y1="84821" x2="28090" y2="84821"/>
                      <a14:foregroundMark x1="30112" y1="79464" x2="30112" y2="79464"/>
                      <a14:foregroundMark x1="37753" y1="36607" x2="37753" y2="36607"/>
                      <a14:foregroundMark x1="49888" y1="57143" x2="49888" y2="57143"/>
                      <a14:foregroundMark x1="56854" y1="36607" x2="56854" y2="36607"/>
                      <a14:foregroundMark x1="85843" y1="42857" x2="85843" y2="42857"/>
                      <a14:foregroundMark x1="89888" y1="39286" x2="89888" y2="39286"/>
                      <a14:foregroundMark x1="93483" y1="37500" x2="93483" y2="37500"/>
                      <a14:foregroundMark x1="89438" y1="38393" x2="89438" y2="38393"/>
                      <a14:foregroundMark x1="87640" y1="40179" x2="87640" y2="40179"/>
                      <a14:foregroundMark x1="95506" y1="36607" x2="95506" y2="36607"/>
                      <a14:foregroundMark x1="97528" y1="36607" x2="97528" y2="36607"/>
                      <a14:foregroundMark x1="42697" y1="59821" x2="42697" y2="59821"/>
                      <a14:foregroundMark x1="42022" y1="68750" x2="42022" y2="68750"/>
                      <a14:foregroundMark x1="20225" y1="48214" x2="20225" y2="48214"/>
                      <a14:foregroundMark x1="12135" y1="88393" x2="12135" y2="88393"/>
                      <a14:foregroundMark x1="19775" y1="66071" x2="19775" y2="66071"/>
                      <a14:foregroundMark x1="23820" y1="33929" x2="23820" y2="33929"/>
                      <a14:foregroundMark x1="51461" y1="40179" x2="51461" y2="40179"/>
                      <a14:foregroundMark x1="59101" y1="73214" x2="59101" y2="73214"/>
                      <a14:foregroundMark x1="57079" y1="76786" x2="57753" y2="76786"/>
                      <a14:foregroundMark x1="81798" y1="45536" x2="81798" y2="455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0959" b="-14548"/>
        <a:stretch/>
      </xdr:blipFill>
      <xdr:spPr>
        <a:xfrm>
          <a:off x="6896100" y="2209800"/>
          <a:ext cx="851781" cy="2751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257175</xdr:colOff>
          <xdr:row>14</xdr:row>
          <xdr:rowOff>19050</xdr:rowOff>
        </xdr:from>
        <xdr:to>
          <xdr:col>30</xdr:col>
          <xdr:colOff>211231</xdr:colOff>
          <xdr:row>32</xdr:row>
          <xdr:rowOff>72839</xdr:rowOff>
        </xdr:to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0800-00002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6:$I$24" spid="_x0000_s46416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8610600" y="3619500"/>
              <a:ext cx="1668556" cy="435908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247650</xdr:colOff>
      <xdr:row>30</xdr:row>
      <xdr:rowOff>133350</xdr:rowOff>
    </xdr:from>
    <xdr:to>
      <xdr:col>20</xdr:col>
      <xdr:colOff>26710</xdr:colOff>
      <xdr:row>32</xdr:row>
      <xdr:rowOff>43952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C661567-A06F-4235-A8C1-87E268DB2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9775" y="7343775"/>
          <a:ext cx="807760" cy="405902"/>
        </a:xfrm>
        <a:prstGeom prst="rect">
          <a:avLst/>
        </a:prstGeom>
      </xdr:spPr>
    </xdr:pic>
    <xdr:clientData/>
  </xdr:twoCellAnchor>
  <xdr:twoCellAnchor editAs="oneCell">
    <xdr:from>
      <xdr:col>31</xdr:col>
      <xdr:colOff>72257</xdr:colOff>
      <xdr:row>3</xdr:row>
      <xdr:rowOff>190499</xdr:rowOff>
    </xdr:from>
    <xdr:to>
      <xdr:col>32</xdr:col>
      <xdr:colOff>301692</xdr:colOff>
      <xdr:row>6</xdr:row>
      <xdr:rowOff>13137</xdr:rowOff>
    </xdr:to>
    <xdr:pic>
      <xdr:nvPicPr>
        <xdr:cNvPr id="40" name="Picture 1">
          <a:extLst>
            <a:ext uri="{FF2B5EF4-FFF2-40B4-BE49-F238E27FC236}">
              <a16:creationId xmlns:a16="http://schemas.microsoft.com/office/drawing/2014/main" id="{A9D04126-9220-46B9-A9BC-D885AA3C0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510343" y="1142999"/>
          <a:ext cx="571021" cy="45325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35</xdr:col>
      <xdr:colOff>57935</xdr:colOff>
      <xdr:row>3</xdr:row>
      <xdr:rowOff>142876</xdr:rowOff>
    </xdr:from>
    <xdr:to>
      <xdr:col>35</xdr:col>
      <xdr:colOff>616871</xdr:colOff>
      <xdr:row>6</xdr:row>
      <xdr:rowOff>11907</xdr:rowOff>
    </xdr:to>
    <xdr:pic>
      <xdr:nvPicPr>
        <xdr:cNvPr id="51" name="Picture 3">
          <a:extLst>
            <a:ext uri="{FF2B5EF4-FFF2-40B4-BE49-F238E27FC236}">
              <a16:creationId xmlns:a16="http://schemas.microsoft.com/office/drawing/2014/main" id="{2A910705-EC33-4927-9737-7F4021F6D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10000" b="90000" l="10000" r="90000">
                      <a14:foregroundMark x1="18386" y1="46479" x2="18386" y2="46479"/>
                      <a14:foregroundMark x1="41704" y1="49296" x2="41704" y2="49296"/>
                      <a14:foregroundMark x1="55157" y1="48592" x2="55157" y2="48592"/>
                      <a14:foregroundMark x1="46637" y1="68310" x2="46637" y2="68310"/>
                      <a14:foregroundMark x1="71300" y1="38028" x2="71300" y2="38028"/>
                      <a14:foregroundMark x1="77130" y1="34507" x2="77130" y2="34507"/>
                      <a14:backgroundMark x1="60987" y1="47887" x2="61435" y2="40141"/>
                      <a14:backgroundMark x1="78027" y1="30282" x2="76682" y2="33099"/>
                      <a14:backgroundMark x1="57848" y1="52113" x2="57848" y2="528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910607" y="1089423"/>
          <a:ext cx="558936" cy="49410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33</xdr:col>
      <xdr:colOff>9584</xdr:colOff>
      <xdr:row>3</xdr:row>
      <xdr:rowOff>130628</xdr:rowOff>
    </xdr:from>
    <xdr:to>
      <xdr:col>34</xdr:col>
      <xdr:colOff>356786</xdr:colOff>
      <xdr:row>6</xdr:row>
      <xdr:rowOff>27214</xdr:rowOff>
    </xdr:to>
    <xdr:pic>
      <xdr:nvPicPr>
        <xdr:cNvPr id="52" name="Picture 5">
          <a:extLst>
            <a:ext uri="{FF2B5EF4-FFF2-40B4-BE49-F238E27FC236}">
              <a16:creationId xmlns:a16="http://schemas.microsoft.com/office/drawing/2014/main" id="{5C8CC003-8B6C-49D7-A38D-CB2DB2AC8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backgroundRemoval t="10000" b="90000" l="10000" r="90000">
                      <a14:foregroundMark x1="34211" y1="34021" x2="34211" y2="34021"/>
                      <a14:foregroundMark x1="26974" y1="43299" x2="26974" y2="43299"/>
                      <a14:foregroundMark x1="43421" y1="57732" x2="43421" y2="57732"/>
                      <a14:foregroundMark x1="62500" y1="39175" x2="62500" y2="39175"/>
                      <a14:foregroundMark x1="63816" y1="53608" x2="63816" y2="5360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161998" y="1088571"/>
          <a:ext cx="662888" cy="5334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30</xdr:col>
      <xdr:colOff>315784</xdr:colOff>
      <xdr:row>8</xdr:row>
      <xdr:rowOff>137948</xdr:rowOff>
    </xdr:from>
    <xdr:to>
      <xdr:col>32</xdr:col>
      <xdr:colOff>329433</xdr:colOff>
      <xdr:row>9</xdr:row>
      <xdr:rowOff>328449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5997820E-0935-4BD1-BB86-8CB3DE65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backgroundRemoval t="10000" b="90000" l="10000" r="90000">
                      <a14:foregroundMark x1="21196" y1="35238" x2="21196" y2="35238"/>
                      <a14:foregroundMark x1="36957" y1="10476" x2="36957" y2="10476"/>
                      <a14:foregroundMark x1="51630" y1="40000" x2="51630" y2="40000"/>
                      <a14:foregroundMark x1="45109" y1="54286" x2="45109" y2="54286"/>
                      <a14:foregroundMark x1="50543" y1="56190" x2="50543" y2="56190"/>
                      <a14:foregroundMark x1="60326" y1="52381" x2="60326" y2="52381"/>
                      <a14:foregroundMark x1="78261" y1="49524" x2="78261" y2="4952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2284" y="2141482"/>
          <a:ext cx="696821" cy="400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275897</xdr:colOff>
      <xdr:row>8</xdr:row>
      <xdr:rowOff>85397</xdr:rowOff>
    </xdr:from>
    <xdr:to>
      <xdr:col>25</xdr:col>
      <xdr:colOff>61525</xdr:colOff>
      <xdr:row>9</xdr:row>
      <xdr:rowOff>278464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12D6BB60-5E7B-4113-8009-FDC41E29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707" y="2088931"/>
          <a:ext cx="810387" cy="403274"/>
        </a:xfrm>
        <a:prstGeom prst="rect">
          <a:avLst/>
        </a:prstGeom>
      </xdr:spPr>
    </xdr:pic>
    <xdr:clientData/>
  </xdr:twoCellAnchor>
  <xdr:twoCellAnchor editAs="oneCell">
    <xdr:from>
      <xdr:col>26</xdr:col>
      <xdr:colOff>210207</xdr:colOff>
      <xdr:row>8</xdr:row>
      <xdr:rowOff>151086</xdr:rowOff>
    </xdr:from>
    <xdr:to>
      <xdr:col>28</xdr:col>
      <xdr:colOff>337421</xdr:colOff>
      <xdr:row>9</xdr:row>
      <xdr:rowOff>344153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65594E5E-E2F1-4C96-8551-52F7F2515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0362" y="2154620"/>
          <a:ext cx="810387" cy="4032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14</xdr:col>
      <xdr:colOff>0</xdr:colOff>
      <xdr:row>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143250" y="857250"/>
          <a:ext cx="1438275" cy="9906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9525</xdr:colOff>
      <xdr:row>3</xdr:row>
      <xdr:rowOff>9525</xdr:rowOff>
    </xdr:from>
    <xdr:to>
      <xdr:col>14</xdr:col>
      <xdr:colOff>0</xdr:colOff>
      <xdr:row>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3152775" y="866775"/>
          <a:ext cx="1428750" cy="981075"/>
        </a:xfrm>
        <a:prstGeom prst="flowChartOr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181208</xdr:colOff>
      <xdr:row>4</xdr:row>
      <xdr:rowOff>208010</xdr:rowOff>
    </xdr:from>
    <xdr:to>
      <xdr:col>12</xdr:col>
      <xdr:colOff>283911</xdr:colOff>
      <xdr:row>5</xdr:row>
      <xdr:rowOff>64760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4079131" y="1329029"/>
          <a:ext cx="102703" cy="113193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25880</xdr:colOff>
      <xdr:row>4</xdr:row>
      <xdr:rowOff>203614</xdr:rowOff>
    </xdr:from>
    <xdr:to>
      <xdr:col>13</xdr:col>
      <xdr:colOff>128583</xdr:colOff>
      <xdr:row>5</xdr:row>
      <xdr:rowOff>60364</xdr:rowOff>
    </xdr:to>
    <xdr:sp macro="" textlink="">
      <xdr:nvSpPr>
        <xdr:cNvPr id="6" name="Oval 3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4326784" y="1324633"/>
          <a:ext cx="102703" cy="113193"/>
        </a:xfrm>
        <a:prstGeom prst="ellipse">
          <a:avLst/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6</xdr:col>
      <xdr:colOff>344366</xdr:colOff>
      <xdr:row>9</xdr:row>
      <xdr:rowOff>227135</xdr:rowOff>
    </xdr:from>
    <xdr:to>
      <xdr:col>9</xdr:col>
      <xdr:colOff>36636</xdr:colOff>
      <xdr:row>11</xdr:row>
      <xdr:rowOff>45614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6D35A98-7592-4D57-A9B0-81A1477CE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712" y="2630366"/>
          <a:ext cx="659424" cy="331363"/>
        </a:xfrm>
        <a:prstGeom prst="rect">
          <a:avLst/>
        </a:prstGeom>
      </xdr:spPr>
    </xdr:pic>
    <xdr:clientData/>
  </xdr:twoCellAnchor>
  <xdr:oneCellAnchor>
    <xdr:from>
      <xdr:col>31</xdr:col>
      <xdr:colOff>79513</xdr:colOff>
      <xdr:row>4</xdr:row>
      <xdr:rowOff>148258</xdr:rowOff>
    </xdr:from>
    <xdr:ext cx="985142" cy="666750"/>
    <xdr:pic>
      <xdr:nvPicPr>
        <xdr:cNvPr id="8" name="그림 7">
          <a:extLst>
            <a:ext uri="{FF2B5EF4-FFF2-40B4-BE49-F238E27FC236}">
              <a16:creationId xmlns:a16="http://schemas.microsoft.com/office/drawing/2014/main" id="{3532FA07-34E7-4CBF-976E-401E6CB8D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1448" y="1274693"/>
          <a:ext cx="985142" cy="666750"/>
        </a:xfrm>
        <a:prstGeom prst="rect">
          <a:avLst/>
        </a:prstGeom>
      </xdr:spPr>
    </xdr:pic>
    <xdr:clientData/>
  </xdr:oneCellAnchor>
  <xdr:oneCellAnchor>
    <xdr:from>
      <xdr:col>30</xdr:col>
      <xdr:colOff>20291</xdr:colOff>
      <xdr:row>5</xdr:row>
      <xdr:rowOff>77443</xdr:rowOff>
    </xdr:from>
    <xdr:ext cx="596520" cy="258849"/>
    <xdr:pic>
      <xdr:nvPicPr>
        <xdr:cNvPr id="9" name="그림 8">
          <a:extLst>
            <a:ext uri="{FF2B5EF4-FFF2-40B4-BE49-F238E27FC236}">
              <a16:creationId xmlns:a16="http://schemas.microsoft.com/office/drawing/2014/main" id="{9EDA758C-E5A2-4659-8E5F-7654C17BF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334" y="1460639"/>
          <a:ext cx="596520" cy="258849"/>
        </a:xfrm>
        <a:prstGeom prst="rect">
          <a:avLst/>
        </a:prstGeom>
      </xdr:spPr>
    </xdr:pic>
    <xdr:clientData/>
  </xdr:oneCellAnchor>
  <xdr:oneCellAnchor>
    <xdr:from>
      <xdr:col>28</xdr:col>
      <xdr:colOff>85311</xdr:colOff>
      <xdr:row>5</xdr:row>
      <xdr:rowOff>22160</xdr:rowOff>
    </xdr:from>
    <xdr:ext cx="492913" cy="375519"/>
    <xdr:pic>
      <xdr:nvPicPr>
        <xdr:cNvPr id="10" name="그림 9">
          <a:extLst>
            <a:ext uri="{FF2B5EF4-FFF2-40B4-BE49-F238E27FC236}">
              <a16:creationId xmlns:a16="http://schemas.microsoft.com/office/drawing/2014/main" id="{F8C735F6-8EFF-4511-BD72-91CEB07B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4761" y="1184210"/>
          <a:ext cx="492913" cy="375519"/>
        </a:xfrm>
        <a:prstGeom prst="rect">
          <a:avLst/>
        </a:prstGeom>
      </xdr:spPr>
    </xdr:pic>
    <xdr:clientData/>
  </xdr:oneCellAnchor>
  <xdr:twoCellAnchor editAs="oneCell">
    <xdr:from>
      <xdr:col>33</xdr:col>
      <xdr:colOff>246016</xdr:colOff>
      <xdr:row>5</xdr:row>
      <xdr:rowOff>96930</xdr:rowOff>
    </xdr:from>
    <xdr:to>
      <xdr:col>36</xdr:col>
      <xdr:colOff>79736</xdr:colOff>
      <xdr:row>6</xdr:row>
      <xdr:rowOff>103093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076F52A-1748-4CE9-BBCD-D3324E0A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7733" y="1480126"/>
          <a:ext cx="703394" cy="262924"/>
        </a:xfrm>
        <a:prstGeom prst="rect">
          <a:avLst/>
        </a:prstGeom>
      </xdr:spPr>
    </xdr:pic>
    <xdr:clientData/>
  </xdr:twoCellAnchor>
  <xdr:twoCellAnchor editAs="oneCell">
    <xdr:from>
      <xdr:col>35</xdr:col>
      <xdr:colOff>333375</xdr:colOff>
      <xdr:row>5</xdr:row>
      <xdr:rowOff>9524</xdr:rowOff>
    </xdr:from>
    <xdr:to>
      <xdr:col>38</xdr:col>
      <xdr:colOff>104775</xdr:colOff>
      <xdr:row>6</xdr:row>
      <xdr:rowOff>120930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E48283C-A541-4C2F-94D5-99ED65C80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1171574"/>
          <a:ext cx="676275" cy="368581"/>
        </a:xfrm>
        <a:prstGeom prst="rect">
          <a:avLst/>
        </a:prstGeom>
      </xdr:spPr>
    </xdr:pic>
    <xdr:clientData/>
  </xdr:twoCellAnchor>
  <xdr:twoCellAnchor editAs="oneCell">
    <xdr:from>
      <xdr:col>38</xdr:col>
      <xdr:colOff>47409</xdr:colOff>
      <xdr:row>5</xdr:row>
      <xdr:rowOff>41412</xdr:rowOff>
    </xdr:from>
    <xdr:to>
      <xdr:col>40</xdr:col>
      <xdr:colOff>48244</xdr:colOff>
      <xdr:row>6</xdr:row>
      <xdr:rowOff>235111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FE770899-D952-416B-AD79-975EF17D7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  <a14:imgEffect>
                    <a14:saturation sat="0"/>
                  </a14:imgEffect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918583" y="1424608"/>
          <a:ext cx="580618" cy="45046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42</xdr:col>
      <xdr:colOff>66218</xdr:colOff>
      <xdr:row>4</xdr:row>
      <xdr:rowOff>250550</xdr:rowOff>
    </xdr:from>
    <xdr:to>
      <xdr:col>42</xdr:col>
      <xdr:colOff>633437</xdr:colOff>
      <xdr:row>6</xdr:row>
      <xdr:rowOff>233881</xdr:rowOff>
    </xdr:to>
    <xdr:pic>
      <xdr:nvPicPr>
        <xdr:cNvPr id="14" name="Picture 3">
          <a:extLst>
            <a:ext uri="{FF2B5EF4-FFF2-40B4-BE49-F238E27FC236}">
              <a16:creationId xmlns:a16="http://schemas.microsoft.com/office/drawing/2014/main" id="{E093DDC4-328D-405F-B993-B18470881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0000" l="10000" r="90000">
                      <a14:foregroundMark x1="18386" y1="46479" x2="18386" y2="46479"/>
                      <a14:foregroundMark x1="41704" y1="49296" x2="41704" y2="49296"/>
                      <a14:foregroundMark x1="55157" y1="48592" x2="55157" y2="48592"/>
                      <a14:foregroundMark x1="46637" y1="68310" x2="46637" y2="68310"/>
                      <a14:foregroundMark x1="71300" y1="38028" x2="71300" y2="38028"/>
                      <a14:foregroundMark x1="77130" y1="34507" x2="77130" y2="34507"/>
                      <a14:backgroundMark x1="60987" y1="47887" x2="61435" y2="40141"/>
                      <a14:backgroundMark x1="78027" y1="30282" x2="76682" y2="33099"/>
                      <a14:backgroundMark x1="57848" y1="52113" x2="57848" y2="5281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096957" y="1376985"/>
          <a:ext cx="567219" cy="49685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40</xdr:col>
      <xdr:colOff>9584</xdr:colOff>
      <xdr:row>4</xdr:row>
      <xdr:rowOff>246585</xdr:rowOff>
    </xdr:from>
    <xdr:to>
      <xdr:col>42</xdr:col>
      <xdr:colOff>99611</xdr:colOff>
      <xdr:row>7</xdr:row>
      <xdr:rowOff>711</xdr:rowOff>
    </xdr:to>
    <xdr:pic>
      <xdr:nvPicPr>
        <xdr:cNvPr id="15" name="Picture 5">
          <a:extLst>
            <a:ext uri="{FF2B5EF4-FFF2-40B4-BE49-F238E27FC236}">
              <a16:creationId xmlns:a16="http://schemas.microsoft.com/office/drawing/2014/main" id="{1F3333E9-6731-48D8-9F4C-68249C68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>
                      <a14:foregroundMark x1="34211" y1="34021" x2="34211" y2="34021"/>
                      <a14:foregroundMark x1="26974" y1="43299" x2="26974" y2="43299"/>
                      <a14:foregroundMark x1="43421" y1="57732" x2="43421" y2="57732"/>
                      <a14:foregroundMark x1="62500" y1="39175" x2="62500" y2="39175"/>
                      <a14:foregroundMark x1="63816" y1="53608" x2="63816" y2="53608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460541" y="1373020"/>
          <a:ext cx="669809" cy="52440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114304</xdr:colOff>
      <xdr:row>19</xdr:row>
      <xdr:rowOff>171452</xdr:rowOff>
    </xdr:from>
    <xdr:to>
      <xdr:col>5</xdr:col>
      <xdr:colOff>9529</xdr:colOff>
      <xdr:row>20</xdr:row>
      <xdr:rowOff>171452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rot="16200000" flipH="1">
          <a:off x="785816" y="13196890"/>
          <a:ext cx="180975" cy="7620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219075</xdr:rowOff>
    </xdr:from>
    <xdr:to>
      <xdr:col>3</xdr:col>
      <xdr:colOff>66675</xdr:colOff>
      <xdr:row>20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ShapeType="1"/>
        </xdr:cNvSpPr>
      </xdr:nvSpPr>
      <xdr:spPr bwMode="auto">
        <a:xfrm flipV="1">
          <a:off x="600075" y="5010150"/>
          <a:ext cx="1047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</xdr:row>
      <xdr:rowOff>0</xdr:rowOff>
    </xdr:from>
    <xdr:to>
      <xdr:col>6</xdr:col>
      <xdr:colOff>161925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ShapeType="1"/>
        </xdr:cNvSpPr>
      </xdr:nvSpPr>
      <xdr:spPr bwMode="auto">
        <a:xfrm>
          <a:off x="704850" y="5019675"/>
          <a:ext cx="828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20</xdr:row>
      <xdr:rowOff>95250</xdr:rowOff>
    </xdr:from>
    <xdr:to>
      <xdr:col>2</xdr:col>
      <xdr:colOff>200025</xdr:colOff>
      <xdr:row>20</xdr:row>
      <xdr:rowOff>219075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ShapeType="1"/>
        </xdr:cNvSpPr>
      </xdr:nvSpPr>
      <xdr:spPr bwMode="auto">
        <a:xfrm>
          <a:off x="504825" y="534352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123825</xdr:colOff>
      <xdr:row>19</xdr:row>
      <xdr:rowOff>0</xdr:rowOff>
    </xdr:from>
    <xdr:to>
      <xdr:col>20</xdr:col>
      <xdr:colOff>0</xdr:colOff>
      <xdr:row>20</xdr:row>
      <xdr:rowOff>247650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 bwMode="auto">
        <a:xfrm flipV="1">
          <a:off x="4581525" y="5019675"/>
          <a:ext cx="1143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</xdr:colOff>
      <xdr:row>19</xdr:row>
      <xdr:rowOff>0</xdr:rowOff>
    </xdr:from>
    <xdr:to>
      <xdr:col>27</xdr:col>
      <xdr:colOff>152400</xdr:colOff>
      <xdr:row>19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ShapeType="1"/>
        </xdr:cNvSpPr>
      </xdr:nvSpPr>
      <xdr:spPr bwMode="auto">
        <a:xfrm>
          <a:off x="4705350" y="5019675"/>
          <a:ext cx="2047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20</xdr:row>
      <xdr:rowOff>114300</xdr:rowOff>
    </xdr:from>
    <xdr:to>
      <xdr:col>19</xdr:col>
      <xdr:colOff>114300</xdr:colOff>
      <xdr:row>20</xdr:row>
      <xdr:rowOff>238125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>
          <a:off x="4476750" y="536257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18</xdr:row>
      <xdr:rowOff>219075</xdr:rowOff>
    </xdr:from>
    <xdr:to>
      <xdr:col>3</xdr:col>
      <xdr:colOff>66675</xdr:colOff>
      <xdr:row>20</xdr:row>
      <xdr:rowOff>219075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ShapeType="1"/>
        </xdr:cNvSpPr>
      </xdr:nvSpPr>
      <xdr:spPr bwMode="auto">
        <a:xfrm flipV="1">
          <a:off x="600075" y="5010150"/>
          <a:ext cx="1047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66675</xdr:colOff>
      <xdr:row>19</xdr:row>
      <xdr:rowOff>0</xdr:rowOff>
    </xdr:from>
    <xdr:to>
      <xdr:col>6</xdr:col>
      <xdr:colOff>161925</xdr:colOff>
      <xdr:row>19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ShapeType="1"/>
        </xdr:cNvSpPr>
      </xdr:nvSpPr>
      <xdr:spPr bwMode="auto">
        <a:xfrm>
          <a:off x="704850" y="5019675"/>
          <a:ext cx="828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20</xdr:row>
      <xdr:rowOff>95250</xdr:rowOff>
    </xdr:from>
    <xdr:to>
      <xdr:col>2</xdr:col>
      <xdr:colOff>200025</xdr:colOff>
      <xdr:row>20</xdr:row>
      <xdr:rowOff>219075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ShapeType="1"/>
        </xdr:cNvSpPr>
      </xdr:nvSpPr>
      <xdr:spPr bwMode="auto">
        <a:xfrm>
          <a:off x="504825" y="534352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123825</xdr:colOff>
      <xdr:row>19</xdr:row>
      <xdr:rowOff>0</xdr:rowOff>
    </xdr:from>
    <xdr:to>
      <xdr:col>20</xdr:col>
      <xdr:colOff>0</xdr:colOff>
      <xdr:row>20</xdr:row>
      <xdr:rowOff>247650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ShapeType="1"/>
        </xdr:cNvSpPr>
      </xdr:nvSpPr>
      <xdr:spPr bwMode="auto">
        <a:xfrm flipV="1">
          <a:off x="4581525" y="5019675"/>
          <a:ext cx="11430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9525</xdr:colOff>
      <xdr:row>19</xdr:row>
      <xdr:rowOff>0</xdr:rowOff>
    </xdr:from>
    <xdr:to>
      <xdr:col>27</xdr:col>
      <xdr:colOff>152400</xdr:colOff>
      <xdr:row>19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 noChangeShapeType="1"/>
        </xdr:cNvSpPr>
      </xdr:nvSpPr>
      <xdr:spPr bwMode="auto">
        <a:xfrm>
          <a:off x="4705350" y="5019675"/>
          <a:ext cx="2095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19050</xdr:colOff>
      <xdr:row>20</xdr:row>
      <xdr:rowOff>114300</xdr:rowOff>
    </xdr:from>
    <xdr:to>
      <xdr:col>19</xdr:col>
      <xdr:colOff>114300</xdr:colOff>
      <xdr:row>20</xdr:row>
      <xdr:rowOff>238125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>
          <a:spLocks noChangeShapeType="1"/>
        </xdr:cNvSpPr>
      </xdr:nvSpPr>
      <xdr:spPr bwMode="auto">
        <a:xfrm>
          <a:off x="4476750" y="5362575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119nas\&#45824;&#44592;&#49457;&#51201;&#49436;\2013&#45380;%20&#49457;&#51201;&#49436;\&#47476;&#45432;&#49340;&#49457;&#51088;&#46041;&#52264;\&#45824;&#44592;&#51032;&#47280;&#50857;\&#44256;.&#51200;&#50517;&#47196;(&#50508;&#47336;&#48120;&#45700;&#53804;&#51077;&#4988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119nas\&#44592;&#49696;&#52769;&#51221;&#48512;\1.&#45824;&#44592;&#49457;&#51201;&#49436;\2019&#45380;%20&#49457;&#51201;&#49436;\&#47476;&#45432;&#49340;&#49457;&#51088;&#46041;&#52264;\ED%20Sanding(PA&#48169;113)\PA&#48169;113(09.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분석결과서"/>
      <sheetName val="수분양"/>
      <sheetName val="mer test set-up"/>
      <sheetName val="Test Set-up"/>
      <sheetName val="시료채취일지"/>
      <sheetName val="측정점"/>
      <sheetName val="분석일지"/>
      <sheetName val="강원도공문"/>
      <sheetName val="전남공문"/>
      <sheetName val="경상북도 공문"/>
      <sheetName val="경기도 공문"/>
      <sheetName val="Determine K factor"/>
      <sheetName val="11"/>
      <sheetName val="21"/>
      <sheetName val="31"/>
      <sheetName val="51"/>
      <sheetName val="41"/>
      <sheetName val="Sampling Data"/>
      <sheetName val="Sample Recovery Data"/>
      <sheetName val="Test Results"/>
      <sheetName val="14"/>
      <sheetName val="24"/>
      <sheetName val="34"/>
      <sheetName val="54"/>
      <sheetName val="44"/>
      <sheetName val="k1"/>
      <sheetName val="Formulae"/>
      <sheetName val="Constants"/>
      <sheetName val="Blank"/>
      <sheetName val="Button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F5">
            <v>30.118675149050077</v>
          </cell>
        </row>
        <row r="6">
          <cell r="B6">
            <v>20.2</v>
          </cell>
        </row>
        <row r="7">
          <cell r="B7">
            <v>0.52583732057416188</v>
          </cell>
        </row>
        <row r="9">
          <cell r="B9">
            <v>79.274162679425842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9">
          <cell r="F9">
            <v>14.926248254776468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등속(수분)"/>
      <sheetName val="mer test set-up"/>
      <sheetName val="Test Set-up"/>
      <sheetName val="측정기록부 "/>
      <sheetName val="시료채취기록지"/>
      <sheetName val="등속계산식"/>
      <sheetName val="분석일지보관용1"/>
      <sheetName val="분석일지보관용2"/>
      <sheetName val="등속흡인식(1)"/>
      <sheetName val="등속흡인식(2)"/>
      <sheetName val="측정점"/>
      <sheetName val="시료채취일지"/>
      <sheetName val="분석일지"/>
      <sheetName val="수분양"/>
      <sheetName val="Determine K factor"/>
      <sheetName val="11"/>
      <sheetName val="21"/>
      <sheetName val="31"/>
      <sheetName val="51"/>
      <sheetName val="41"/>
      <sheetName val="Sampling Data"/>
      <sheetName val="Sample Recovery Data"/>
      <sheetName val="Test Results"/>
      <sheetName val="14"/>
      <sheetName val="24"/>
      <sheetName val="34"/>
      <sheetName val="54"/>
      <sheetName val="44"/>
      <sheetName val="k1"/>
      <sheetName val="Formulae"/>
      <sheetName val="Constants"/>
    </sheetNames>
    <sheetDataSet>
      <sheetData sheetId="0" refreshError="1"/>
      <sheetData sheetId="1" refreshError="1"/>
      <sheetData sheetId="2">
        <row r="7">
          <cell r="E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>
            <v>29.875698898564835</v>
          </cell>
        </row>
        <row r="6">
          <cell r="B6">
            <v>20.9</v>
          </cell>
          <cell r="F6">
            <v>558.27</v>
          </cell>
        </row>
        <row r="7">
          <cell r="B7">
            <v>0</v>
          </cell>
          <cell r="F7">
            <v>29.923134214718569</v>
          </cell>
        </row>
        <row r="8">
          <cell r="B8">
            <v>0</v>
          </cell>
          <cell r="F8">
            <v>549.27</v>
          </cell>
        </row>
        <row r="9">
          <cell r="B9">
            <v>79.099999999999994</v>
          </cell>
          <cell r="F9">
            <v>28.835999999999999</v>
          </cell>
        </row>
        <row r="10">
          <cell r="B10">
            <v>3.2213017868674427</v>
          </cell>
          <cell r="F10">
            <v>28.487261868553727</v>
          </cell>
        </row>
        <row r="11">
          <cell r="B11">
            <v>29.870078740157485</v>
          </cell>
        </row>
        <row r="12">
          <cell r="B12">
            <v>7.6377952755905518E-2</v>
          </cell>
        </row>
        <row r="13">
          <cell r="B13">
            <v>98.600000000000009</v>
          </cell>
        </row>
        <row r="14">
          <cell r="B14">
            <v>0.45420173117066076</v>
          </cell>
        </row>
        <row r="15">
          <cell r="B15">
            <v>1.7339</v>
          </cell>
        </row>
        <row r="16">
          <cell r="B16">
            <v>0.72102389928515509</v>
          </cell>
        </row>
        <row r="17">
          <cell r="B17">
            <v>30</v>
          </cell>
          <cell r="F17">
            <v>3.4950395118020876</v>
          </cell>
        </row>
        <row r="18">
          <cell r="B18">
            <v>89.6</v>
          </cell>
        </row>
        <row r="19">
          <cell r="B19">
            <v>14.125790161387155</v>
          </cell>
        </row>
        <row r="20">
          <cell r="B20">
            <v>0.83</v>
          </cell>
        </row>
        <row r="21">
          <cell r="B21">
            <v>1.0035000000000001</v>
          </cell>
        </row>
        <row r="22">
          <cell r="B22">
            <v>0.24646000000000001</v>
          </cell>
        </row>
        <row r="23">
          <cell r="F23" t="str">
            <v>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">
          <cell r="F9" t="str">
            <v/>
          </cell>
        </row>
        <row r="10">
          <cell r="B10">
            <v>10.054000872322304</v>
          </cell>
        </row>
        <row r="13">
          <cell r="B13">
            <v>98.600000000000009</v>
          </cell>
        </row>
        <row r="17">
          <cell r="B17">
            <v>89.6</v>
          </cell>
          <cell r="F17" t="str">
            <v/>
          </cell>
        </row>
        <row r="18">
          <cell r="F18" t="str">
            <v/>
          </cell>
        </row>
        <row r="19">
          <cell r="B19">
            <v>0</v>
          </cell>
        </row>
        <row r="20">
          <cell r="F20" t="str">
            <v/>
          </cell>
        </row>
        <row r="21">
          <cell r="B21">
            <v>14.747099211305105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Relationship Id="rId4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Relationship Id="rId4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workbookViewId="0">
      <selection activeCell="L24" sqref="L24"/>
    </sheetView>
  </sheetViews>
  <sheetFormatPr defaultColWidth="9" defaultRowHeight="13.5"/>
  <cols>
    <col min="1" max="1" width="9" style="45"/>
    <col min="2" max="2" width="20" style="45" customWidth="1"/>
    <col min="3" max="16384" width="9" style="45"/>
  </cols>
  <sheetData>
    <row r="1" spans="1:6">
      <c r="A1" s="67" t="s">
        <v>538</v>
      </c>
      <c r="B1" s="67" t="s">
        <v>539</v>
      </c>
    </row>
    <row r="2" spans="1:6">
      <c r="A2" s="68">
        <v>0</v>
      </c>
      <c r="B2" s="45">
        <v>4.585</v>
      </c>
      <c r="D2" s="68"/>
      <c r="E2" s="69" t="s">
        <v>540</v>
      </c>
      <c r="F2" s="68"/>
    </row>
    <row r="3" spans="1:6">
      <c r="A3" s="68">
        <v>1</v>
      </c>
      <c r="B3" s="45">
        <v>4.9290000000000003</v>
      </c>
      <c r="D3" s="70" t="s">
        <v>538</v>
      </c>
      <c r="E3" s="70" t="s">
        <v>539</v>
      </c>
      <c r="F3" s="69"/>
    </row>
    <row r="4" spans="1:6">
      <c r="A4" s="68">
        <v>2</v>
      </c>
      <c r="B4" s="45">
        <v>5.2949999999999999</v>
      </c>
      <c r="D4" s="71" t="e">
        <f>'먼지측정 사전 Data'!R69</f>
        <v>#DIV/0!</v>
      </c>
      <c r="E4" s="72" t="e">
        <f>LOOKUP(D4,A2:A102,B2:B102)</f>
        <v>#DIV/0!</v>
      </c>
      <c r="F4" s="73"/>
    </row>
    <row r="5" spans="1:6">
      <c r="A5" s="68">
        <v>3</v>
      </c>
      <c r="B5" s="45">
        <v>5.6859999999999999</v>
      </c>
      <c r="D5" s="73"/>
      <c r="E5" s="74"/>
      <c r="F5" s="73"/>
    </row>
    <row r="6" spans="1:6">
      <c r="A6" s="68">
        <v>4</v>
      </c>
      <c r="B6" s="45">
        <v>6.1020000000000003</v>
      </c>
      <c r="D6" s="68"/>
      <c r="E6" s="68"/>
      <c r="F6" s="68"/>
    </row>
    <row r="7" spans="1:6">
      <c r="A7" s="68">
        <v>5</v>
      </c>
      <c r="B7" s="75">
        <v>6.5449999999999999</v>
      </c>
      <c r="D7" s="68"/>
      <c r="E7" s="68"/>
      <c r="F7" s="68"/>
    </row>
    <row r="8" spans="1:6">
      <c r="A8" s="68">
        <v>6</v>
      </c>
      <c r="B8" s="75">
        <v>7.016</v>
      </c>
      <c r="D8" s="68"/>
      <c r="E8" s="68"/>
      <c r="F8" s="68"/>
    </row>
    <row r="9" spans="1:6">
      <c r="A9" s="68">
        <v>7</v>
      </c>
      <c r="B9" s="75">
        <v>7.516</v>
      </c>
    </row>
    <row r="10" spans="1:6">
      <c r="A10" s="68">
        <v>8</v>
      </c>
      <c r="B10" s="75">
        <v>8.048</v>
      </c>
    </row>
    <row r="11" spans="1:6">
      <c r="A11" s="68">
        <v>9</v>
      </c>
      <c r="B11" s="75">
        <v>8.6129999999999995</v>
      </c>
    </row>
    <row r="12" spans="1:6">
      <c r="A12" s="68">
        <v>10</v>
      </c>
      <c r="B12" s="75">
        <v>9.2119999999999997</v>
      </c>
    </row>
    <row r="13" spans="1:6">
      <c r="A13" s="68">
        <v>11</v>
      </c>
      <c r="B13" s="75">
        <v>9.8480000000000008</v>
      </c>
    </row>
    <row r="14" spans="1:6">
      <c r="A14" s="68">
        <v>12</v>
      </c>
      <c r="B14" s="76">
        <v>10.52</v>
      </c>
    </row>
    <row r="15" spans="1:6">
      <c r="A15" s="68">
        <v>13</v>
      </c>
      <c r="B15" s="76">
        <v>11.24</v>
      </c>
    </row>
    <row r="16" spans="1:6">
      <c r="A16" s="68">
        <v>14</v>
      </c>
      <c r="B16" s="76">
        <v>11.99</v>
      </c>
    </row>
    <row r="17" spans="1:2">
      <c r="A17" s="68">
        <v>15</v>
      </c>
      <c r="B17" s="76">
        <v>12.79</v>
      </c>
    </row>
    <row r="18" spans="1:2">
      <c r="A18" s="68">
        <v>16</v>
      </c>
      <c r="B18" s="76">
        <v>13.64</v>
      </c>
    </row>
    <row r="19" spans="1:2">
      <c r="A19" s="68">
        <v>17</v>
      </c>
      <c r="B19" s="76">
        <v>14.54</v>
      </c>
    </row>
    <row r="20" spans="1:2">
      <c r="A20" s="68">
        <v>18</v>
      </c>
      <c r="B20" s="76">
        <v>15.49</v>
      </c>
    </row>
    <row r="21" spans="1:2">
      <c r="A21" s="68">
        <v>19</v>
      </c>
      <c r="B21" s="76">
        <v>16.489999999999998</v>
      </c>
    </row>
    <row r="22" spans="1:2">
      <c r="A22" s="68">
        <v>20</v>
      </c>
      <c r="B22" s="76">
        <v>17.55</v>
      </c>
    </row>
    <row r="23" spans="1:2">
      <c r="A23" s="68">
        <v>21</v>
      </c>
      <c r="B23" s="76">
        <v>18.66</v>
      </c>
    </row>
    <row r="24" spans="1:2">
      <c r="A24" s="68">
        <v>22</v>
      </c>
      <c r="B24" s="76">
        <v>19.84</v>
      </c>
    </row>
    <row r="25" spans="1:2">
      <c r="A25" s="68">
        <v>23</v>
      </c>
      <c r="B25" s="76">
        <v>21.09</v>
      </c>
    </row>
    <row r="26" spans="1:2">
      <c r="A26" s="68">
        <v>24</v>
      </c>
      <c r="B26" s="76">
        <v>22.4</v>
      </c>
    </row>
    <row r="27" spans="1:2">
      <c r="A27" s="68">
        <v>25</v>
      </c>
      <c r="B27" s="76">
        <v>23.78</v>
      </c>
    </row>
    <row r="28" spans="1:2">
      <c r="A28" s="68">
        <v>26</v>
      </c>
      <c r="B28" s="76">
        <v>25.23</v>
      </c>
    </row>
    <row r="29" spans="1:2">
      <c r="A29" s="68">
        <v>27</v>
      </c>
      <c r="B29" s="76">
        <v>26.76</v>
      </c>
    </row>
    <row r="30" spans="1:2">
      <c r="A30" s="68">
        <v>28</v>
      </c>
      <c r="B30" s="76">
        <v>28.38</v>
      </c>
    </row>
    <row r="31" spans="1:2">
      <c r="A31" s="68">
        <v>29</v>
      </c>
      <c r="B31" s="76">
        <v>30.07</v>
      </c>
    </row>
    <row r="32" spans="1:2">
      <c r="A32" s="68">
        <v>30</v>
      </c>
      <c r="B32" s="76">
        <v>31.86</v>
      </c>
    </row>
    <row r="33" spans="1:2">
      <c r="A33" s="68">
        <v>31</v>
      </c>
      <c r="B33" s="76">
        <v>33.729999999999997</v>
      </c>
    </row>
    <row r="34" spans="1:2">
      <c r="A34" s="68">
        <v>32</v>
      </c>
      <c r="B34" s="76">
        <v>35.700000000000003</v>
      </c>
    </row>
    <row r="35" spans="1:2">
      <c r="A35" s="68">
        <v>33</v>
      </c>
      <c r="B35" s="76">
        <v>37.770000000000003</v>
      </c>
    </row>
    <row r="36" spans="1:2">
      <c r="A36" s="68">
        <v>34</v>
      </c>
      <c r="B36" s="76">
        <v>39.94</v>
      </c>
    </row>
    <row r="37" spans="1:2">
      <c r="A37" s="68">
        <v>35</v>
      </c>
      <c r="B37" s="76">
        <v>42.22</v>
      </c>
    </row>
    <row r="38" spans="1:2">
      <c r="A38" s="68">
        <v>36</v>
      </c>
      <c r="B38" s="76">
        <v>44.62</v>
      </c>
    </row>
    <row r="39" spans="1:2">
      <c r="A39" s="68">
        <v>37</v>
      </c>
      <c r="B39" s="76">
        <v>47.13</v>
      </c>
    </row>
    <row r="40" spans="1:2">
      <c r="A40" s="68">
        <v>38</v>
      </c>
      <c r="B40" s="76">
        <v>49.75</v>
      </c>
    </row>
    <row r="41" spans="1:2">
      <c r="A41" s="68">
        <v>39</v>
      </c>
      <c r="B41" s="76">
        <v>52.51</v>
      </c>
    </row>
    <row r="42" spans="1:2">
      <c r="A42" s="68">
        <v>40</v>
      </c>
      <c r="B42" s="76">
        <v>55.4</v>
      </c>
    </row>
    <row r="43" spans="1:2">
      <c r="A43" s="68">
        <v>41</v>
      </c>
      <c r="B43" s="76">
        <v>58.42</v>
      </c>
    </row>
    <row r="44" spans="1:2">
      <c r="A44" s="68">
        <v>42</v>
      </c>
      <c r="B44" s="76">
        <v>61.58</v>
      </c>
    </row>
    <row r="45" spans="1:2">
      <c r="A45" s="68">
        <v>43</v>
      </c>
      <c r="B45" s="76">
        <v>64.89</v>
      </c>
    </row>
    <row r="46" spans="1:2">
      <c r="A46" s="68">
        <v>44</v>
      </c>
      <c r="B46" s="76">
        <v>68.36</v>
      </c>
    </row>
    <row r="47" spans="1:2">
      <c r="A47" s="68">
        <v>45</v>
      </c>
      <c r="B47" s="76">
        <v>71.98</v>
      </c>
    </row>
    <row r="48" spans="1:2">
      <c r="A48" s="68">
        <v>46</v>
      </c>
      <c r="B48" s="76">
        <v>75.760000000000005</v>
      </c>
    </row>
    <row r="49" spans="1:2">
      <c r="A49" s="68">
        <v>47</v>
      </c>
      <c r="B49" s="76">
        <v>79.709999999999994</v>
      </c>
    </row>
    <row r="50" spans="1:2">
      <c r="A50" s="68">
        <v>48</v>
      </c>
      <c r="B50" s="76">
        <v>83.85</v>
      </c>
    </row>
    <row r="51" spans="1:2">
      <c r="A51" s="68">
        <v>49</v>
      </c>
      <c r="B51" s="76">
        <v>88.16</v>
      </c>
    </row>
    <row r="52" spans="1:2">
      <c r="A52" s="68">
        <v>50</v>
      </c>
      <c r="B52" s="76">
        <v>92.66</v>
      </c>
    </row>
    <row r="53" spans="1:2">
      <c r="A53" s="68">
        <v>51</v>
      </c>
      <c r="B53" s="76">
        <v>97.36</v>
      </c>
    </row>
    <row r="54" spans="1:2">
      <c r="A54" s="68">
        <v>52</v>
      </c>
      <c r="B54" s="76">
        <v>102.3</v>
      </c>
    </row>
    <row r="55" spans="1:2">
      <c r="A55" s="68">
        <v>53</v>
      </c>
      <c r="B55" s="76">
        <v>107.4</v>
      </c>
    </row>
    <row r="56" spans="1:2">
      <c r="A56" s="68">
        <v>54</v>
      </c>
      <c r="B56" s="76">
        <v>112.7</v>
      </c>
    </row>
    <row r="57" spans="1:2">
      <c r="A57" s="68">
        <v>55</v>
      </c>
      <c r="B57" s="76">
        <v>118.2</v>
      </c>
    </row>
    <row r="58" spans="1:2">
      <c r="A58" s="68">
        <v>56</v>
      </c>
      <c r="B58" s="76">
        <v>124</v>
      </c>
    </row>
    <row r="59" spans="1:2">
      <c r="A59" s="68">
        <v>57</v>
      </c>
      <c r="B59" s="76">
        <v>130</v>
      </c>
    </row>
    <row r="60" spans="1:2">
      <c r="A60" s="68">
        <v>58</v>
      </c>
      <c r="B60" s="76">
        <v>136.30000000000001</v>
      </c>
    </row>
    <row r="61" spans="1:2">
      <c r="A61" s="68">
        <v>59</v>
      </c>
      <c r="B61" s="76">
        <v>142.80000000000001</v>
      </c>
    </row>
    <row r="62" spans="1:2">
      <c r="A62" s="68">
        <v>60</v>
      </c>
      <c r="B62" s="76">
        <v>149.6</v>
      </c>
    </row>
    <row r="63" spans="1:2">
      <c r="A63" s="68">
        <v>61</v>
      </c>
      <c r="B63" s="76">
        <v>156.69999999999999</v>
      </c>
    </row>
    <row r="64" spans="1:2">
      <c r="A64" s="68">
        <v>62</v>
      </c>
      <c r="B64" s="76">
        <v>164</v>
      </c>
    </row>
    <row r="65" spans="1:2">
      <c r="A65" s="68">
        <v>63</v>
      </c>
      <c r="B65" s="76">
        <v>171.7</v>
      </c>
    </row>
    <row r="66" spans="1:2">
      <c r="A66" s="68">
        <v>64</v>
      </c>
      <c r="B66" s="76">
        <v>179.6</v>
      </c>
    </row>
    <row r="67" spans="1:2">
      <c r="A67" s="68">
        <v>65</v>
      </c>
      <c r="B67" s="76">
        <v>187.8</v>
      </c>
    </row>
    <row r="68" spans="1:2">
      <c r="A68" s="68">
        <v>66</v>
      </c>
      <c r="B68" s="76">
        <v>196.4</v>
      </c>
    </row>
    <row r="69" spans="1:2">
      <c r="A69" s="68">
        <v>67</v>
      </c>
      <c r="B69" s="76">
        <v>205.3</v>
      </c>
    </row>
    <row r="70" spans="1:2">
      <c r="A70" s="68">
        <v>68</v>
      </c>
      <c r="B70" s="76">
        <v>214.5</v>
      </c>
    </row>
    <row r="71" spans="1:2">
      <c r="A71" s="68">
        <v>69</v>
      </c>
      <c r="B71" s="76">
        <v>224.1</v>
      </c>
    </row>
    <row r="72" spans="1:2">
      <c r="A72" s="68">
        <v>70</v>
      </c>
      <c r="B72" s="76">
        <v>234</v>
      </c>
    </row>
    <row r="73" spans="1:2">
      <c r="A73" s="68">
        <v>71</v>
      </c>
      <c r="B73" s="76">
        <v>244.4</v>
      </c>
    </row>
    <row r="74" spans="1:2">
      <c r="A74" s="68">
        <v>72</v>
      </c>
      <c r="B74" s="76">
        <v>255</v>
      </c>
    </row>
    <row r="75" spans="1:2">
      <c r="A75" s="68">
        <v>73</v>
      </c>
      <c r="B75" s="76">
        <v>266.10000000000002</v>
      </c>
    </row>
    <row r="76" spans="1:2">
      <c r="A76" s="68">
        <v>74</v>
      </c>
      <c r="B76" s="76">
        <v>277.60000000000002</v>
      </c>
    </row>
    <row r="77" spans="1:2">
      <c r="A77" s="68">
        <v>75</v>
      </c>
      <c r="B77" s="76">
        <v>289.5</v>
      </c>
    </row>
    <row r="78" spans="1:2">
      <c r="A78" s="68">
        <v>76</v>
      </c>
      <c r="B78" s="76">
        <v>301.8</v>
      </c>
    </row>
    <row r="79" spans="1:2">
      <c r="A79" s="68">
        <v>77</v>
      </c>
      <c r="B79" s="76">
        <v>314.60000000000002</v>
      </c>
    </row>
    <row r="80" spans="1:2">
      <c r="A80" s="68">
        <v>78</v>
      </c>
      <c r="B80" s="76">
        <v>327.8</v>
      </c>
    </row>
    <row r="81" spans="1:2">
      <c r="A81" s="68">
        <v>79</v>
      </c>
      <c r="B81" s="76">
        <v>341.5</v>
      </c>
    </row>
    <row r="82" spans="1:2">
      <c r="A82" s="68">
        <v>80</v>
      </c>
      <c r="B82" s="76">
        <v>355.7</v>
      </c>
    </row>
    <row r="83" spans="1:2">
      <c r="A83" s="68">
        <v>81</v>
      </c>
      <c r="B83" s="76">
        <v>370.3</v>
      </c>
    </row>
    <row r="84" spans="1:2">
      <c r="A84" s="68">
        <v>82</v>
      </c>
      <c r="B84" s="76">
        <v>385.5</v>
      </c>
    </row>
    <row r="85" spans="1:2">
      <c r="A85" s="68">
        <v>83</v>
      </c>
      <c r="B85" s="76">
        <v>401.1</v>
      </c>
    </row>
    <row r="86" spans="1:2">
      <c r="A86" s="68">
        <v>84</v>
      </c>
      <c r="B86" s="76">
        <v>417.3</v>
      </c>
    </row>
    <row r="87" spans="1:2">
      <c r="A87" s="68">
        <v>85</v>
      </c>
      <c r="B87" s="76">
        <v>434.1</v>
      </c>
    </row>
    <row r="88" spans="1:2">
      <c r="A88" s="68">
        <v>86</v>
      </c>
      <c r="B88" s="76">
        <v>451.4</v>
      </c>
    </row>
    <row r="89" spans="1:2">
      <c r="A89" s="68">
        <v>87</v>
      </c>
      <c r="B89" s="76">
        <v>469.2</v>
      </c>
    </row>
    <row r="90" spans="1:2">
      <c r="A90" s="68">
        <v>88</v>
      </c>
      <c r="B90" s="76">
        <v>487.7</v>
      </c>
    </row>
    <row r="91" spans="1:2">
      <c r="A91" s="68">
        <v>89</v>
      </c>
      <c r="B91" s="76">
        <v>506.8</v>
      </c>
    </row>
    <row r="92" spans="1:2">
      <c r="A92" s="68">
        <v>90</v>
      </c>
      <c r="B92" s="76">
        <v>526.4</v>
      </c>
    </row>
    <row r="93" spans="1:2">
      <c r="A93" s="68">
        <v>91</v>
      </c>
      <c r="B93" s="76">
        <v>546.70000000000005</v>
      </c>
    </row>
    <row r="94" spans="1:2">
      <c r="A94" s="68">
        <v>92</v>
      </c>
      <c r="B94" s="76">
        <v>567.70000000000005</v>
      </c>
    </row>
    <row r="95" spans="1:2">
      <c r="A95" s="68">
        <v>93</v>
      </c>
      <c r="B95" s="76">
        <v>589.29999999999995</v>
      </c>
    </row>
    <row r="96" spans="1:2">
      <c r="A96" s="68">
        <v>94</v>
      </c>
      <c r="B96" s="76">
        <v>611.6</v>
      </c>
    </row>
    <row r="97" spans="1:2">
      <c r="A97" s="68">
        <v>95</v>
      </c>
      <c r="B97" s="76">
        <v>634.70000000000005</v>
      </c>
    </row>
    <row r="98" spans="1:2">
      <c r="A98" s="68">
        <v>96</v>
      </c>
      <c r="B98" s="76">
        <v>658.4</v>
      </c>
    </row>
    <row r="99" spans="1:2">
      <c r="A99" s="68">
        <v>97</v>
      </c>
      <c r="B99" s="76">
        <v>682.8</v>
      </c>
    </row>
    <row r="100" spans="1:2">
      <c r="A100" s="68">
        <v>98</v>
      </c>
      <c r="B100" s="76">
        <v>708</v>
      </c>
    </row>
    <row r="101" spans="1:2">
      <c r="A101" s="68">
        <v>99</v>
      </c>
      <c r="B101" s="76">
        <v>734</v>
      </c>
    </row>
    <row r="102" spans="1:2">
      <c r="A102" s="68">
        <v>100</v>
      </c>
      <c r="B102" s="76">
        <v>760.7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43"/>
  <sheetViews>
    <sheetView topLeftCell="A7" workbookViewId="0">
      <selection activeCell="S25" sqref="S25"/>
    </sheetView>
  </sheetViews>
  <sheetFormatPr defaultRowHeight="16.899999999999999"/>
  <cols>
    <col min="1" max="1" width="3.625" customWidth="1"/>
    <col min="2" max="8" width="2.625" customWidth="1"/>
    <col min="9" max="11" width="3.125" customWidth="1"/>
    <col min="12" max="24" width="2.625" customWidth="1"/>
    <col min="25" max="27" width="3.125" customWidth="1"/>
    <col min="28" max="93" width="2.625" customWidth="1"/>
  </cols>
  <sheetData>
    <row r="1" spans="1:59" ht="16.5" customHeight="1">
      <c r="A1" s="1246" t="s">
        <v>0</v>
      </c>
      <c r="B1" s="1246"/>
      <c r="C1" s="1246"/>
      <c r="D1" s="1246"/>
      <c r="E1" s="1246"/>
      <c r="F1" s="1246"/>
      <c r="G1" s="1246"/>
      <c r="H1" s="1246"/>
      <c r="I1" s="1246"/>
      <c r="AF1" s="1246" t="s">
        <v>88</v>
      </c>
      <c r="AG1" s="1246"/>
      <c r="AH1" s="1246"/>
      <c r="AI1" s="1246"/>
      <c r="AJ1" s="1246"/>
      <c r="AK1" s="1246"/>
      <c r="AL1" s="1246"/>
      <c r="AM1" s="1246"/>
    </row>
    <row r="2" spans="1:59" ht="16.5" customHeight="1">
      <c r="A2" s="1246"/>
      <c r="B2" s="1246"/>
      <c r="C2" s="1246"/>
      <c r="D2" s="1246"/>
      <c r="E2" s="1246"/>
      <c r="F2" s="1246"/>
      <c r="G2" s="1246"/>
      <c r="H2" s="1246"/>
      <c r="I2" s="1246"/>
      <c r="AF2" s="1246"/>
      <c r="AG2" s="1246"/>
      <c r="AH2" s="1246"/>
      <c r="AI2" s="1246"/>
      <c r="AJ2" s="1246"/>
      <c r="AK2" s="1246"/>
      <c r="AL2" s="1246"/>
      <c r="AM2" s="1246"/>
    </row>
    <row r="3" spans="1:59"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9">
      <c r="A4" s="2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4"/>
      <c r="Y4" s="4"/>
      <c r="Z4" s="4"/>
      <c r="AA4" s="4"/>
      <c r="AB4" s="4"/>
      <c r="AC4" s="4"/>
      <c r="AD4" s="4"/>
    </row>
    <row r="5" spans="1:59">
      <c r="A5" s="2"/>
      <c r="B5" s="2"/>
      <c r="C5" s="2"/>
      <c r="D5" s="2"/>
      <c r="E5" s="2"/>
      <c r="F5" s="2"/>
      <c r="G5" s="2"/>
      <c r="H5" s="2"/>
      <c r="I5" s="3"/>
      <c r="J5" s="1238">
        <v>3.5799999999999998E-2</v>
      </c>
      <c r="K5" s="1238"/>
      <c r="L5" s="1238"/>
      <c r="M5" s="1226" t="s">
        <v>58</v>
      </c>
      <c r="N5" s="1238">
        <f>Y36</f>
        <v>5.1840000000000002</v>
      </c>
      <c r="O5" s="1238"/>
      <c r="P5" s="1238"/>
      <c r="Q5" s="1238"/>
      <c r="R5" s="1226" t="s">
        <v>58</v>
      </c>
      <c r="S5" s="1255">
        <f>J33</f>
        <v>0</v>
      </c>
      <c r="T5" s="1255"/>
      <c r="U5" s="1255"/>
      <c r="V5" s="2"/>
      <c r="W5" s="2"/>
      <c r="X5" s="1271" t="e">
        <f>Y34+460</f>
        <v>#DIV/0!</v>
      </c>
      <c r="Y5" s="1240"/>
      <c r="Z5" s="1240"/>
      <c r="AA5" s="1226" t="s">
        <v>58</v>
      </c>
      <c r="AB5" s="1240">
        <f>J30</f>
        <v>8.0398900000000007E-5</v>
      </c>
      <c r="AC5" s="1240"/>
      <c r="AD5" s="1240"/>
      <c r="AE5" s="1242" t="s">
        <v>90</v>
      </c>
      <c r="AF5" s="1242"/>
      <c r="AG5" s="1242"/>
      <c r="AH5" s="1236" t="s">
        <v>91</v>
      </c>
      <c r="AI5" s="1236"/>
      <c r="AJ5" s="1236"/>
      <c r="AK5" s="1236"/>
      <c r="AL5" s="1236"/>
      <c r="AM5" s="1236"/>
      <c r="AN5" s="1233" t="s">
        <v>92</v>
      </c>
      <c r="AO5" s="1233"/>
      <c r="AP5" s="1233"/>
      <c r="AQ5" s="1233"/>
      <c r="AR5" s="1233"/>
      <c r="AS5" s="1233"/>
      <c r="AT5" s="1233"/>
      <c r="AU5" s="1226" t="s">
        <v>58</v>
      </c>
      <c r="AV5" s="1233" t="s">
        <v>71</v>
      </c>
      <c r="AW5" s="1233"/>
      <c r="AX5" s="1226" t="s">
        <v>58</v>
      </c>
      <c r="AY5" s="1233" t="s">
        <v>10</v>
      </c>
      <c r="AZ5" s="1233"/>
      <c r="BA5" s="1237" t="s">
        <v>95</v>
      </c>
      <c r="BB5" s="1237"/>
      <c r="BC5" s="1237"/>
      <c r="BD5" s="1237"/>
      <c r="BE5" s="1237" t="s">
        <v>96</v>
      </c>
      <c r="BF5" s="1237"/>
      <c r="BG5" s="1237"/>
    </row>
    <row r="6" spans="1:59">
      <c r="A6" s="1230" t="e">
        <f>SQRT(((J5*N5*S5)/(J7*N7*S7))*SQRT((X5*AB5)/(X7*AB7)))</f>
        <v>#DIV/0!</v>
      </c>
      <c r="B6" s="1230"/>
      <c r="C6" s="1230"/>
      <c r="D6" s="1230"/>
      <c r="E6" s="1227" t="s">
        <v>1</v>
      </c>
      <c r="F6" s="1227"/>
      <c r="G6" s="1227"/>
      <c r="H6" s="2"/>
      <c r="I6" s="3"/>
      <c r="J6" s="1241"/>
      <c r="K6" s="1241"/>
      <c r="L6" s="1241"/>
      <c r="M6" s="1228"/>
      <c r="N6" s="1241"/>
      <c r="O6" s="1241"/>
      <c r="P6" s="1241"/>
      <c r="Q6" s="1241"/>
      <c r="R6" s="1228"/>
      <c r="S6" s="1270"/>
      <c r="T6" s="1270"/>
      <c r="U6" s="1270"/>
      <c r="V6" s="1226" t="s">
        <v>58</v>
      </c>
      <c r="W6" s="2"/>
      <c r="X6" s="1272"/>
      <c r="Y6" s="1241"/>
      <c r="Z6" s="1241"/>
      <c r="AA6" s="1228"/>
      <c r="AB6" s="1241"/>
      <c r="AC6" s="1241"/>
      <c r="AD6" s="1241"/>
      <c r="AE6" s="1242"/>
      <c r="AF6" s="1242"/>
      <c r="AG6" s="1242"/>
      <c r="AH6" s="1236"/>
      <c r="AI6" s="1236"/>
      <c r="AJ6" s="1236"/>
      <c r="AK6" s="1236"/>
      <c r="AL6" s="1236"/>
      <c r="AM6" s="1236"/>
      <c r="AN6" s="1234" t="s">
        <v>93</v>
      </c>
      <c r="AO6" s="1234"/>
      <c r="AP6" s="1234"/>
      <c r="AQ6" s="1234"/>
      <c r="AR6" s="1234"/>
      <c r="AS6" s="1234"/>
      <c r="AT6" s="1234"/>
      <c r="AU6" s="1227"/>
      <c r="AV6" s="1236" t="s">
        <v>94</v>
      </c>
      <c r="AW6" s="1236"/>
      <c r="AX6" s="1227"/>
      <c r="AY6" s="1236" t="s">
        <v>11</v>
      </c>
      <c r="AZ6" s="1236"/>
      <c r="BA6" s="1237"/>
      <c r="BB6" s="1237"/>
      <c r="BC6" s="1237"/>
      <c r="BD6" s="1237"/>
      <c r="BE6" s="1237"/>
      <c r="BF6" s="1237"/>
      <c r="BG6" s="1237"/>
    </row>
    <row r="7" spans="1:59">
      <c r="A7" s="1230"/>
      <c r="B7" s="1230"/>
      <c r="C7" s="1230"/>
      <c r="D7" s="1230"/>
      <c r="E7" s="1227"/>
      <c r="F7" s="1227"/>
      <c r="G7" s="1227"/>
      <c r="H7" s="2"/>
      <c r="I7" s="3"/>
      <c r="J7" s="1240" t="e">
        <f>Y20+460</f>
        <v>#DIV/0!</v>
      </c>
      <c r="K7" s="1240"/>
      <c r="L7" s="1240"/>
      <c r="M7" s="1226" t="s">
        <v>58</v>
      </c>
      <c r="N7" s="1240">
        <v>0.84</v>
      </c>
      <c r="O7" s="1240"/>
      <c r="P7" s="1240"/>
      <c r="Q7" s="1240"/>
      <c r="R7" s="1226" t="s">
        <v>58</v>
      </c>
      <c r="S7" s="1240" t="e">
        <f>1-J37</f>
        <v>#DIV/0!</v>
      </c>
      <c r="T7" s="1240"/>
      <c r="U7" s="1240"/>
      <c r="V7" s="1228"/>
      <c r="W7" s="2"/>
      <c r="X7" s="1252">
        <f>Y31</f>
        <v>-8.6879383979441595E-3</v>
      </c>
      <c r="Y7" s="1253"/>
      <c r="Z7" s="1253"/>
      <c r="AA7" s="1226" t="s">
        <v>58</v>
      </c>
      <c r="AB7" s="1229">
        <f>SQRT(J32)</f>
        <v>2.2360679774997898</v>
      </c>
      <c r="AC7" s="1229"/>
      <c r="AD7" s="1229"/>
    </row>
    <row r="8" spans="1:59" ht="16.5" customHeight="1">
      <c r="A8" s="2"/>
      <c r="B8" s="2"/>
      <c r="C8" s="2"/>
      <c r="D8" s="2"/>
      <c r="E8" s="2"/>
      <c r="F8" s="2"/>
      <c r="G8" s="2"/>
      <c r="H8" s="2"/>
      <c r="I8" s="3"/>
      <c r="J8" s="1238"/>
      <c r="K8" s="1238"/>
      <c r="L8" s="1238"/>
      <c r="M8" s="1227"/>
      <c r="N8" s="1238"/>
      <c r="O8" s="1238"/>
      <c r="P8" s="1238"/>
      <c r="Q8" s="1238"/>
      <c r="R8" s="1227"/>
      <c r="S8" s="1238"/>
      <c r="T8" s="1238"/>
      <c r="U8" s="1238"/>
      <c r="V8" s="2"/>
      <c r="W8" s="2"/>
      <c r="X8" s="1254"/>
      <c r="Y8" s="1255"/>
      <c r="Z8" s="1255"/>
      <c r="AA8" s="1227"/>
      <c r="AB8" s="1230"/>
      <c r="AC8" s="1230"/>
      <c r="AD8" s="1230"/>
      <c r="AF8" s="1231" t="s">
        <v>90</v>
      </c>
      <c r="AG8" s="1231"/>
      <c r="AH8" s="1232" t="e">
        <f>((AH10*AK10*AM10)*((AQ10+273)/(AQ11+273))*(AV10/AV11)*(AY10/AY11)*BA10*BE10)</f>
        <v>#DIV/0!</v>
      </c>
      <c r="AI8" s="1232"/>
      <c r="AJ8" s="1232"/>
      <c r="AK8" s="1232"/>
    </row>
    <row r="9" spans="1:59" ht="16.5" customHeight="1">
      <c r="A9" s="2"/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</row>
    <row r="10" spans="1:59">
      <c r="B10" s="1273" t="s">
        <v>474</v>
      </c>
      <c r="C10" s="1274"/>
      <c r="D10" s="1274"/>
      <c r="E10" s="1274"/>
      <c r="F10" s="1274"/>
      <c r="G10" s="1274"/>
      <c r="H10" s="1274"/>
      <c r="I10" s="1274"/>
      <c r="J10" s="1274"/>
      <c r="K10" s="1274"/>
      <c r="L10" s="1274"/>
      <c r="M10" s="1274"/>
      <c r="N10" s="1275"/>
      <c r="R10" s="1273" t="s">
        <v>475</v>
      </c>
      <c r="S10" s="1274"/>
      <c r="T10" s="1274"/>
      <c r="U10" s="1274"/>
      <c r="V10" s="1274"/>
      <c r="W10" s="1274"/>
      <c r="X10" s="1274"/>
      <c r="Y10" s="1274"/>
      <c r="Z10" s="1274"/>
      <c r="AA10" s="1274"/>
      <c r="AB10" s="1274"/>
      <c r="AC10" s="1274"/>
      <c r="AD10" s="1275"/>
      <c r="AH10" s="1238">
        <f>J30</f>
        <v>8.0398900000000007E-5</v>
      </c>
      <c r="AI10" s="1238"/>
      <c r="AJ10" s="1238"/>
      <c r="AK10" s="1238">
        <f>('먼지측정 사전 Data'!H65)^2</f>
        <v>0</v>
      </c>
      <c r="AL10" s="1238"/>
      <c r="AM10" s="1238">
        <f>'먼지측정 사전 Data'!H63</f>
        <v>0</v>
      </c>
      <c r="AN10" s="1238"/>
      <c r="AO10" s="1238"/>
      <c r="AP10" s="25" t="s">
        <v>86</v>
      </c>
      <c r="AQ10" s="1241" t="e">
        <f>J20</f>
        <v>#DIV/0!</v>
      </c>
      <c r="AR10" s="1241"/>
      <c r="AS10" s="1228" t="s">
        <v>98</v>
      </c>
      <c r="AT10" s="1228"/>
      <c r="AU10" s="1226" t="s">
        <v>58</v>
      </c>
      <c r="AV10" s="1239" t="e">
        <f>J27</f>
        <v>#DIV/0!</v>
      </c>
      <c r="AW10" s="1239"/>
      <c r="AX10" s="1226" t="s">
        <v>58</v>
      </c>
      <c r="AY10" s="1241">
        <f>J28</f>
        <v>28.000000000000004</v>
      </c>
      <c r="AZ10" s="1241"/>
      <c r="BA10" s="1238" t="e">
        <f>(1-J37)^2</f>
        <v>#DIV/0!</v>
      </c>
      <c r="BB10" s="1238"/>
      <c r="BC10" s="1238"/>
      <c r="BD10" s="1226" t="s">
        <v>58</v>
      </c>
      <c r="BE10" s="1235">
        <f>I17^4</f>
        <v>24335.579164788938</v>
      </c>
      <c r="BF10" s="1235"/>
      <c r="BG10" s="1235"/>
    </row>
    <row r="11" spans="1:59" ht="17.25">
      <c r="B11" s="23"/>
      <c r="C11" s="1247" t="s">
        <v>99</v>
      </c>
      <c r="D11" s="1247"/>
      <c r="E11" s="1247"/>
      <c r="F11" s="1247" t="s">
        <v>100</v>
      </c>
      <c r="G11" s="1247"/>
      <c r="H11" s="1247"/>
      <c r="I11" s="1247" t="s">
        <v>101</v>
      </c>
      <c r="J11" s="1247"/>
      <c r="K11" s="1247"/>
      <c r="L11" s="1247" t="s">
        <v>102</v>
      </c>
      <c r="M11" s="1247"/>
      <c r="N11" s="1247"/>
      <c r="R11" s="23"/>
      <c r="S11" s="1247" t="s">
        <v>99</v>
      </c>
      <c r="T11" s="1247"/>
      <c r="U11" s="1247"/>
      <c r="V11" s="1247" t="s">
        <v>100</v>
      </c>
      <c r="W11" s="1247"/>
      <c r="X11" s="1247"/>
      <c r="Y11" s="1247" t="s">
        <v>101</v>
      </c>
      <c r="Z11" s="1247"/>
      <c r="AA11" s="1247"/>
      <c r="AB11" s="1247" t="s">
        <v>102</v>
      </c>
      <c r="AC11" s="1247"/>
      <c r="AD11" s="1247"/>
      <c r="AH11" s="1238"/>
      <c r="AI11" s="1238"/>
      <c r="AJ11" s="1238"/>
      <c r="AK11" s="1238"/>
      <c r="AL11" s="1238"/>
      <c r="AM11" s="1238"/>
      <c r="AN11" s="1238"/>
      <c r="AO11" s="1238"/>
      <c r="AP11" s="25" t="s">
        <v>86</v>
      </c>
      <c r="AQ11" s="1238" t="e">
        <f>J34</f>
        <v>#DIV/0!</v>
      </c>
      <c r="AR11" s="1238"/>
      <c r="AS11" s="1227" t="s">
        <v>98</v>
      </c>
      <c r="AT11" s="1227"/>
      <c r="AU11" s="1227"/>
      <c r="AV11" s="1240">
        <f>J19</f>
        <v>0</v>
      </c>
      <c r="AW11" s="1240"/>
      <c r="AX11" s="1227"/>
      <c r="AY11" s="1243" t="e">
        <f>J29</f>
        <v>#DIV/0!</v>
      </c>
      <c r="AZ11" s="1243"/>
      <c r="BA11" s="1238"/>
      <c r="BB11" s="1238"/>
      <c r="BC11" s="1238"/>
      <c r="BD11" s="1227"/>
      <c r="BE11" s="1235"/>
      <c r="BF11" s="1235"/>
      <c r="BG11" s="1235"/>
    </row>
    <row r="12" spans="1:59">
      <c r="B12" s="24" t="s">
        <v>16</v>
      </c>
      <c r="C12" s="1247">
        <v>0.12559000000000001</v>
      </c>
      <c r="D12" s="1247"/>
      <c r="E12" s="1247"/>
      <c r="F12" s="1247">
        <f t="shared" ref="F12:F17" si="0">C12*2.54</f>
        <v>0.31899860000000002</v>
      </c>
      <c r="G12" s="1247"/>
      <c r="H12" s="1247"/>
      <c r="I12" s="1269">
        <f t="shared" ref="I12:I17" si="1">F12*10</f>
        <v>3.1899860000000002</v>
      </c>
      <c r="J12" s="1269"/>
      <c r="K12" s="1269"/>
      <c r="L12" s="1248">
        <f t="shared" ref="L12:L17" si="2">3.14*(F12/2)^2</f>
        <v>7.9881683839538614E-2</v>
      </c>
      <c r="M12" s="1248"/>
      <c r="N12" s="1248"/>
      <c r="R12" s="24" t="s">
        <v>16</v>
      </c>
      <c r="S12" s="1248">
        <v>0.12402000000000001</v>
      </c>
      <c r="T12" s="1248"/>
      <c r="U12" s="1248"/>
      <c r="V12" s="1249">
        <f t="shared" ref="V12:V17" si="3">S12*2.54</f>
        <v>0.31501080000000004</v>
      </c>
      <c r="W12" s="1249"/>
      <c r="X12" s="1249"/>
      <c r="Y12" s="1269">
        <f t="shared" ref="Y12:Y17" si="4">V12*10</f>
        <v>3.1501080000000004</v>
      </c>
      <c r="Z12" s="1269"/>
      <c r="AA12" s="1269"/>
      <c r="AB12" s="1248">
        <f t="shared" ref="AB12:AB17" si="5">3.14*(V12/2)^2</f>
        <v>7.789696623156242E-2</v>
      </c>
      <c r="AC12" s="1248"/>
      <c r="AD12" s="1248"/>
    </row>
    <row r="13" spans="1:59">
      <c r="B13" s="24" t="s">
        <v>17</v>
      </c>
      <c r="C13" s="1247">
        <v>0.17677000000000001</v>
      </c>
      <c r="D13" s="1247"/>
      <c r="E13" s="1247"/>
      <c r="F13" s="1247">
        <f t="shared" si="0"/>
        <v>0.44899580000000006</v>
      </c>
      <c r="G13" s="1247"/>
      <c r="H13" s="1247"/>
      <c r="I13" s="1269">
        <f t="shared" si="1"/>
        <v>4.4899580000000006</v>
      </c>
      <c r="J13" s="1269"/>
      <c r="K13" s="1269"/>
      <c r="L13" s="1248">
        <f t="shared" si="2"/>
        <v>0.15825382430784746</v>
      </c>
      <c r="M13" s="1248"/>
      <c r="N13" s="1248"/>
      <c r="R13" s="24" t="s">
        <v>17</v>
      </c>
      <c r="S13" s="1247">
        <v>0.17126</v>
      </c>
      <c r="T13" s="1247"/>
      <c r="U13" s="1247"/>
      <c r="V13" s="1247">
        <f t="shared" si="3"/>
        <v>0.43500040000000001</v>
      </c>
      <c r="W13" s="1247"/>
      <c r="X13" s="1247"/>
      <c r="Y13" s="1269">
        <f t="shared" si="4"/>
        <v>4.3500040000000002</v>
      </c>
      <c r="Z13" s="1269"/>
      <c r="AA13" s="1269"/>
      <c r="AB13" s="1248">
        <f t="shared" si="5"/>
        <v>0.14854189818012561</v>
      </c>
      <c r="AC13" s="1248"/>
      <c r="AD13" s="1248"/>
    </row>
    <row r="14" spans="1:59">
      <c r="B14" s="24" t="s">
        <v>18</v>
      </c>
      <c r="C14" s="1248">
        <v>0.24645</v>
      </c>
      <c r="D14" s="1248"/>
      <c r="E14" s="1248"/>
      <c r="F14" s="1249">
        <f t="shared" si="0"/>
        <v>0.62598300000000007</v>
      </c>
      <c r="G14" s="1249"/>
      <c r="H14" s="1249"/>
      <c r="I14" s="1269">
        <f t="shared" si="1"/>
        <v>6.2598300000000009</v>
      </c>
      <c r="J14" s="1269"/>
      <c r="K14" s="1269"/>
      <c r="L14" s="1248">
        <f t="shared" si="2"/>
        <v>0.3076059522868651</v>
      </c>
      <c r="M14" s="1248"/>
      <c r="N14" s="1248"/>
      <c r="R14" s="24" t="s">
        <v>18</v>
      </c>
      <c r="S14" s="1247">
        <v>0.24213000000000001</v>
      </c>
      <c r="T14" s="1247"/>
      <c r="U14" s="1247"/>
      <c r="V14" s="1249">
        <f t="shared" si="3"/>
        <v>0.61501020000000006</v>
      </c>
      <c r="W14" s="1249"/>
      <c r="X14" s="1249"/>
      <c r="Y14" s="1269">
        <f t="shared" si="4"/>
        <v>6.1501020000000004</v>
      </c>
      <c r="Z14" s="1269"/>
      <c r="AA14" s="1269"/>
      <c r="AB14" s="1248">
        <f t="shared" si="5"/>
        <v>0.29691647369167146</v>
      </c>
      <c r="AC14" s="1248"/>
      <c r="AD14" s="1248"/>
    </row>
    <row r="15" spans="1:59">
      <c r="B15" s="24" t="s">
        <v>19</v>
      </c>
      <c r="C15" s="1247">
        <v>0.30353999999999998</v>
      </c>
      <c r="D15" s="1247"/>
      <c r="E15" s="1247"/>
      <c r="F15" s="1249">
        <f t="shared" si="0"/>
        <v>0.7709916</v>
      </c>
      <c r="G15" s="1249"/>
      <c r="H15" s="1249"/>
      <c r="I15" s="1269">
        <f t="shared" si="1"/>
        <v>7.7099159999999998</v>
      </c>
      <c r="J15" s="1269"/>
      <c r="K15" s="1269"/>
      <c r="L15" s="1248">
        <f t="shared" si="2"/>
        <v>0.4666260171073896</v>
      </c>
      <c r="M15" s="1248"/>
      <c r="N15" s="1248"/>
      <c r="R15" s="24" t="s">
        <v>19</v>
      </c>
      <c r="S15" s="1247">
        <v>0.29724</v>
      </c>
      <c r="T15" s="1247"/>
      <c r="U15" s="1247"/>
      <c r="V15" s="1249">
        <f t="shared" si="3"/>
        <v>0.75498960000000004</v>
      </c>
      <c r="W15" s="1249"/>
      <c r="X15" s="1249"/>
      <c r="Y15" s="1269">
        <f t="shared" si="4"/>
        <v>7.5498960000000004</v>
      </c>
      <c r="Z15" s="1269"/>
      <c r="AA15" s="1269"/>
      <c r="AB15" s="1248">
        <f t="shared" si="5"/>
        <v>0.4474572974449057</v>
      </c>
      <c r="AC15" s="1248"/>
      <c r="AD15" s="1248"/>
    </row>
    <row r="16" spans="1:59">
      <c r="B16" s="24" t="s">
        <v>20</v>
      </c>
      <c r="C16" s="1247">
        <v>0.37086000000000002</v>
      </c>
      <c r="D16" s="1247"/>
      <c r="E16" s="1247"/>
      <c r="F16" s="1249">
        <f t="shared" si="0"/>
        <v>0.94198440000000006</v>
      </c>
      <c r="G16" s="1249"/>
      <c r="H16" s="1249"/>
      <c r="I16" s="1269">
        <f t="shared" si="1"/>
        <v>9.4198440000000012</v>
      </c>
      <c r="J16" s="1269"/>
      <c r="K16" s="1269"/>
      <c r="L16" s="1247">
        <f t="shared" si="2"/>
        <v>0.69655766872703773</v>
      </c>
      <c r="M16" s="1247"/>
      <c r="N16" s="1247"/>
      <c r="R16" s="24" t="s">
        <v>20</v>
      </c>
      <c r="S16" s="1247">
        <v>0.36024</v>
      </c>
      <c r="T16" s="1247"/>
      <c r="U16" s="1247"/>
      <c r="V16" s="1249">
        <f t="shared" si="3"/>
        <v>0.91500959999999998</v>
      </c>
      <c r="W16" s="1249"/>
      <c r="X16" s="1249"/>
      <c r="Y16" s="1269">
        <f t="shared" si="4"/>
        <v>9.1500959999999996</v>
      </c>
      <c r="Z16" s="1269"/>
      <c r="AA16" s="1269"/>
      <c r="AB16" s="1248">
        <f t="shared" si="5"/>
        <v>0.65723541595234558</v>
      </c>
      <c r="AC16" s="1248"/>
      <c r="AD16" s="1248"/>
    </row>
    <row r="17" spans="1:42">
      <c r="B17" s="24" t="s">
        <v>21</v>
      </c>
      <c r="C17" s="1247">
        <v>0.49173</v>
      </c>
      <c r="D17" s="1247"/>
      <c r="E17" s="1247"/>
      <c r="F17" s="1249">
        <f t="shared" si="0"/>
        <v>1.2489942000000001</v>
      </c>
      <c r="G17" s="1249"/>
      <c r="H17" s="1249"/>
      <c r="I17" s="1269">
        <f t="shared" si="1"/>
        <v>12.489942000000001</v>
      </c>
      <c r="J17" s="1269"/>
      <c r="K17" s="1269"/>
      <c r="L17" s="1248">
        <f t="shared" si="2"/>
        <v>1.2245894116324076</v>
      </c>
      <c r="M17" s="1248"/>
      <c r="N17" s="1248"/>
      <c r="R17" s="24" t="s">
        <v>21</v>
      </c>
      <c r="S17" s="1247">
        <v>0.42716999999999999</v>
      </c>
      <c r="T17" s="1247"/>
      <c r="U17" s="1247"/>
      <c r="V17" s="1249">
        <f t="shared" si="3"/>
        <v>1.0850118</v>
      </c>
      <c r="W17" s="1249"/>
      <c r="X17" s="1249"/>
      <c r="Y17" s="1269">
        <f t="shared" si="4"/>
        <v>10.850118</v>
      </c>
      <c r="Z17" s="1269"/>
      <c r="AA17" s="1269"/>
      <c r="AB17" s="1248">
        <f t="shared" si="5"/>
        <v>0.92414172581930343</v>
      </c>
      <c r="AC17" s="1248"/>
      <c r="AD17" s="1248"/>
    </row>
    <row r="18" spans="1:42">
      <c r="R18" s="24" t="s">
        <v>22</v>
      </c>
      <c r="S18" s="1247">
        <v>0.49014999999999997</v>
      </c>
      <c r="T18" s="1247"/>
      <c r="U18" s="1247"/>
      <c r="V18" s="1249">
        <f t="shared" ref="V18" si="6">S18*2.54</f>
        <v>1.2449809999999999</v>
      </c>
      <c r="W18" s="1249"/>
      <c r="X18" s="1249"/>
      <c r="Y18" s="1269">
        <f t="shared" ref="Y18" si="7">V18*10</f>
        <v>12.449809999999999</v>
      </c>
      <c r="Z18" s="1269"/>
      <c r="AA18" s="1269"/>
      <c r="AB18" s="1248">
        <f t="shared" ref="AB18" si="8">3.14*(V18/2)^2</f>
        <v>1.2167324869333849</v>
      </c>
      <c r="AC18" s="1248"/>
      <c r="AD18" s="1248"/>
    </row>
    <row r="19" spans="1:42">
      <c r="A19" s="6" t="s">
        <v>16</v>
      </c>
      <c r="B19" s="1244" t="s">
        <v>3</v>
      </c>
      <c r="C19" s="1244"/>
      <c r="D19" s="1244"/>
      <c r="E19" s="1244"/>
      <c r="F19" s="1244"/>
      <c r="G19" s="1244"/>
      <c r="H19" s="1244"/>
      <c r="I19" s="7" t="s">
        <v>15</v>
      </c>
      <c r="J19" s="1245">
        <f>'먼지측정 사전 Data'!H20</f>
        <v>0</v>
      </c>
      <c r="K19" s="1245"/>
      <c r="L19" s="1245"/>
      <c r="M19" s="1245"/>
      <c r="N19" s="1245"/>
      <c r="O19" s="1258" t="s">
        <v>38</v>
      </c>
      <c r="P19" s="1259"/>
      <c r="Q19" s="1259"/>
      <c r="V19" s="9"/>
      <c r="W19" s="9"/>
      <c r="X19" s="9"/>
      <c r="Y19" s="1251">
        <f>J19/25.4</f>
        <v>0</v>
      </c>
      <c r="Z19" s="1251"/>
      <c r="AA19" s="1251"/>
      <c r="AB19" s="1251"/>
      <c r="AC19" t="s">
        <v>2</v>
      </c>
    </row>
    <row r="20" spans="1:42">
      <c r="A20" s="6" t="s">
        <v>17</v>
      </c>
      <c r="B20" s="1244" t="s">
        <v>33</v>
      </c>
      <c r="C20" s="1244"/>
      <c r="D20" s="1244"/>
      <c r="E20" s="1244"/>
      <c r="F20" s="1244"/>
      <c r="G20" s="1244"/>
      <c r="H20" s="1244"/>
      <c r="I20" s="7" t="s">
        <v>15</v>
      </c>
      <c r="J20" s="1245" t="e">
        <f>'먼지측정 사전 Data'!R74</f>
        <v>#DIV/0!</v>
      </c>
      <c r="K20" s="1245"/>
      <c r="L20" s="1245"/>
      <c r="M20" s="1245"/>
      <c r="N20" s="1245"/>
      <c r="O20" s="1260" t="s">
        <v>39</v>
      </c>
      <c r="P20" s="1261"/>
      <c r="Q20" s="1261"/>
      <c r="Y20" s="1250" t="e">
        <f>((9/5)*J20)+32</f>
        <v>#DIV/0!</v>
      </c>
      <c r="Z20" s="1250"/>
      <c r="AA20" s="1250"/>
      <c r="AB20" s="1250"/>
      <c r="AC20" s="8" t="s">
        <v>30</v>
      </c>
    </row>
    <row r="21" spans="1:42">
      <c r="A21" s="6" t="s">
        <v>18</v>
      </c>
      <c r="B21" s="1244" t="s">
        <v>4</v>
      </c>
      <c r="C21" s="1244"/>
      <c r="D21" s="1244"/>
      <c r="E21" s="1244"/>
      <c r="F21" s="1244"/>
      <c r="G21" s="1244"/>
      <c r="H21" s="1244"/>
      <c r="I21" s="7" t="s">
        <v>15</v>
      </c>
      <c r="J21" s="1245">
        <v>2</v>
      </c>
      <c r="K21" s="1245"/>
      <c r="L21" s="1245"/>
      <c r="M21" s="1245"/>
      <c r="N21" s="1245"/>
      <c r="O21" s="1258" t="s">
        <v>40</v>
      </c>
      <c r="P21" s="1259"/>
      <c r="Q21" s="1259"/>
      <c r="Y21" s="2"/>
      <c r="Z21" s="2"/>
      <c r="AA21" s="2"/>
      <c r="AB21" s="2"/>
    </row>
    <row r="22" spans="1:42">
      <c r="A22" s="6" t="s">
        <v>19</v>
      </c>
      <c r="B22" s="1244" t="s">
        <v>87</v>
      </c>
      <c r="C22" s="1244"/>
      <c r="D22" s="1244"/>
      <c r="E22" s="1244"/>
      <c r="F22" s="1244"/>
      <c r="G22" s="1244"/>
      <c r="H22" s="1244"/>
      <c r="I22" s="7" t="s">
        <v>15</v>
      </c>
      <c r="J22" s="1245" t="e">
        <f>'먼지측정 사전 Data'!R71</f>
        <v>#DIV/0!</v>
      </c>
      <c r="K22" s="1245"/>
      <c r="L22" s="1245"/>
      <c r="M22" s="1245"/>
      <c r="N22" s="1245"/>
      <c r="O22" s="1258" t="s">
        <v>40</v>
      </c>
      <c r="P22" s="1259"/>
      <c r="Q22" s="1259"/>
      <c r="Y22" s="2"/>
      <c r="Z22" s="2"/>
      <c r="AA22" s="2"/>
      <c r="AB22" s="2"/>
      <c r="AM22" s="1236"/>
      <c r="AN22" s="1236"/>
      <c r="AO22" s="1236"/>
      <c r="AP22" s="1236"/>
    </row>
    <row r="23" spans="1:42">
      <c r="A23" s="6" t="s">
        <v>20</v>
      </c>
      <c r="B23" s="1244" t="s">
        <v>6</v>
      </c>
      <c r="C23" s="1244"/>
      <c r="D23" s="1244"/>
      <c r="E23" s="1244"/>
      <c r="F23" s="1244"/>
      <c r="G23" s="1244"/>
      <c r="H23" s="1244"/>
      <c r="I23" s="7" t="s">
        <v>15</v>
      </c>
      <c r="J23" s="1245">
        <f>'먼지측정 사전 Data'!H14</f>
        <v>0</v>
      </c>
      <c r="K23" s="1245"/>
      <c r="L23" s="1245"/>
      <c r="M23" s="1245"/>
      <c r="N23" s="1245"/>
      <c r="O23" s="1258" t="s">
        <v>41</v>
      </c>
      <c r="P23" s="1259"/>
      <c r="Q23" s="1259"/>
      <c r="Y23" s="2"/>
      <c r="Z23" s="2"/>
      <c r="AA23" s="2"/>
      <c r="AB23" s="2"/>
    </row>
    <row r="24" spans="1:42">
      <c r="A24" s="6" t="s">
        <v>21</v>
      </c>
      <c r="B24" s="1244" t="s">
        <v>7</v>
      </c>
      <c r="C24" s="1244"/>
      <c r="D24" s="1244"/>
      <c r="E24" s="1244"/>
      <c r="F24" s="1244"/>
      <c r="G24" s="1244"/>
      <c r="H24" s="1244"/>
      <c r="I24" s="7" t="s">
        <v>15</v>
      </c>
      <c r="J24" s="1245">
        <f>'먼지측정 사전 Data'!H16</f>
        <v>0</v>
      </c>
      <c r="K24" s="1245"/>
      <c r="L24" s="1245"/>
      <c r="M24" s="1245"/>
      <c r="N24" s="1245"/>
      <c r="O24" s="1258" t="s">
        <v>41</v>
      </c>
      <c r="P24" s="1259"/>
      <c r="Q24" s="1259"/>
      <c r="Y24" s="2"/>
      <c r="Z24" s="2"/>
      <c r="AA24" s="2"/>
      <c r="AB24" s="2"/>
    </row>
    <row r="25" spans="1:42">
      <c r="A25" s="6" t="s">
        <v>22</v>
      </c>
      <c r="B25" s="1244" t="s">
        <v>9</v>
      </c>
      <c r="C25" s="1244"/>
      <c r="D25" s="1244"/>
      <c r="E25" s="1244"/>
      <c r="F25" s="1244"/>
      <c r="G25" s="1244"/>
      <c r="H25" s="1244"/>
      <c r="I25" s="7" t="s">
        <v>15</v>
      </c>
      <c r="J25" s="1245">
        <f>'먼지측정 사전 Data'!H17</f>
        <v>0</v>
      </c>
      <c r="K25" s="1245"/>
      <c r="L25" s="1245"/>
      <c r="M25" s="1245"/>
      <c r="N25" s="1245"/>
      <c r="O25" s="21"/>
      <c r="P25" s="10"/>
      <c r="Q25" s="10"/>
      <c r="Y25" s="2"/>
      <c r="Z25" s="2"/>
      <c r="AA25" s="2"/>
      <c r="AB25" s="2"/>
    </row>
    <row r="26" spans="1:42">
      <c r="A26" s="6" t="s">
        <v>23</v>
      </c>
      <c r="B26" s="1244" t="s">
        <v>8</v>
      </c>
      <c r="C26" s="1244"/>
      <c r="D26" s="1244"/>
      <c r="E26" s="1244"/>
      <c r="F26" s="1244"/>
      <c r="G26" s="1244"/>
      <c r="H26" s="1244"/>
      <c r="I26" s="7" t="s">
        <v>15</v>
      </c>
      <c r="J26" s="1245">
        <f>'먼지측정 사전 Data'!H19</f>
        <v>100</v>
      </c>
      <c r="K26" s="1245"/>
      <c r="L26" s="1245"/>
      <c r="M26" s="1245"/>
      <c r="N26" s="1245"/>
      <c r="O26" s="1258" t="s">
        <v>41</v>
      </c>
      <c r="P26" s="1259"/>
      <c r="Q26" s="1259"/>
      <c r="Y26" s="2"/>
      <c r="Z26" s="2"/>
      <c r="AA26" s="2"/>
      <c r="AB26" s="2"/>
    </row>
    <row r="27" spans="1:42">
      <c r="A27" s="6" t="s">
        <v>24</v>
      </c>
      <c r="B27" s="1268" t="s">
        <v>89</v>
      </c>
      <c r="C27" s="1268"/>
      <c r="D27" s="1268"/>
      <c r="E27" s="1268"/>
      <c r="F27" s="1268"/>
      <c r="G27" s="1268"/>
      <c r="H27" s="1268"/>
      <c r="I27" s="7" t="s">
        <v>15</v>
      </c>
      <c r="J27" s="1256" t="e">
        <f>('먼지측정 사전 Data'!H20)+('먼지측정 사전 Data'!R71/13.6)</f>
        <v>#DIV/0!</v>
      </c>
      <c r="K27" s="1256"/>
      <c r="L27" s="1256"/>
      <c r="M27" s="1256"/>
      <c r="N27" s="1256"/>
      <c r="O27" s="1258" t="s">
        <v>38</v>
      </c>
      <c r="P27" s="1259"/>
      <c r="Q27" s="1259"/>
      <c r="Y27" s="2"/>
      <c r="Z27" s="2"/>
      <c r="AA27" s="2"/>
      <c r="AB27" s="2"/>
    </row>
    <row r="28" spans="1:42">
      <c r="A28" s="6" t="s">
        <v>25</v>
      </c>
      <c r="B28" s="1244" t="s">
        <v>10</v>
      </c>
      <c r="C28" s="1244"/>
      <c r="D28" s="1244"/>
      <c r="E28" s="1244"/>
      <c r="F28" s="1244"/>
      <c r="G28" s="1244"/>
      <c r="H28" s="1244"/>
      <c r="I28" s="7" t="s">
        <v>15</v>
      </c>
      <c r="J28" s="1245">
        <f>((0.32*J23)+(0.44*J24)+(0.28*J26)+(0.28*J25))</f>
        <v>28.000000000000004</v>
      </c>
      <c r="K28" s="1245"/>
      <c r="L28" s="1245"/>
      <c r="M28" s="1245"/>
      <c r="N28" s="1245"/>
      <c r="O28" s="2"/>
      <c r="P28" s="2"/>
      <c r="Q28" s="2"/>
      <c r="Y28" s="2"/>
      <c r="Z28" s="2"/>
      <c r="AA28" s="2"/>
      <c r="AB28" s="2"/>
    </row>
    <row r="29" spans="1:42">
      <c r="A29" s="6" t="s">
        <v>26</v>
      </c>
      <c r="B29" s="1244" t="s">
        <v>11</v>
      </c>
      <c r="C29" s="1244"/>
      <c r="D29" s="1244"/>
      <c r="E29" s="1244"/>
      <c r="F29" s="1244"/>
      <c r="G29" s="1244"/>
      <c r="H29" s="1244"/>
      <c r="I29" s="7" t="s">
        <v>15</v>
      </c>
      <c r="J29" s="1265" t="e">
        <f>(J28*(1-J37))+(J37*18.01)</f>
        <v>#DIV/0!</v>
      </c>
      <c r="K29" s="1265"/>
      <c r="L29" s="1265"/>
      <c r="M29" s="1265"/>
      <c r="N29" s="1265"/>
      <c r="O29" s="2"/>
      <c r="P29" s="2"/>
      <c r="Q29" s="2"/>
      <c r="S29" s="5"/>
      <c r="Y29" s="2"/>
      <c r="Z29" s="2"/>
      <c r="AA29" s="2"/>
      <c r="AB29" s="2"/>
    </row>
    <row r="30" spans="1:42">
      <c r="A30" s="6" t="s">
        <v>27</v>
      </c>
      <c r="B30" s="1244" t="s">
        <v>97</v>
      </c>
      <c r="C30" s="1244"/>
      <c r="D30" s="1244"/>
      <c r="E30" s="1244"/>
      <c r="F30" s="1244"/>
      <c r="G30" s="1244"/>
      <c r="H30" s="1244"/>
      <c r="I30" s="7" t="s">
        <v>15</v>
      </c>
      <c r="J30" s="1245">
        <f>8.03989*10^-5</f>
        <v>8.0398900000000007E-5</v>
      </c>
      <c r="K30" s="1245"/>
      <c r="L30" s="1245"/>
      <c r="M30" s="1245"/>
      <c r="N30" s="1245"/>
      <c r="O30" s="2"/>
      <c r="P30" s="2"/>
      <c r="Q30" s="2"/>
      <c r="Y30" s="2"/>
      <c r="Z30" s="2"/>
      <c r="AA30" s="2"/>
      <c r="AB30" s="2"/>
    </row>
    <row r="31" spans="1:42">
      <c r="A31" s="6" t="s">
        <v>28</v>
      </c>
      <c r="B31" s="1244" t="s">
        <v>12</v>
      </c>
      <c r="C31" s="1244"/>
      <c r="D31" s="1244"/>
      <c r="E31" s="1244"/>
      <c r="F31" s="1244"/>
      <c r="G31" s="1244"/>
      <c r="H31" s="1244"/>
      <c r="I31" s="7" t="s">
        <v>15</v>
      </c>
      <c r="J31" s="1245">
        <v>-3</v>
      </c>
      <c r="K31" s="1245"/>
      <c r="L31" s="1245"/>
      <c r="M31" s="1245"/>
      <c r="N31" s="1245"/>
      <c r="O31" s="1258" t="s">
        <v>40</v>
      </c>
      <c r="P31" s="1259"/>
      <c r="Q31" s="1259"/>
      <c r="Y31" s="1251">
        <f>Y19+(J31*(760/10332)*(1/25.4))</f>
        <v>-8.6879383979441595E-3</v>
      </c>
      <c r="Z31" s="1251"/>
      <c r="AA31" s="1251"/>
      <c r="AB31" s="1251"/>
      <c r="AC31" t="s">
        <v>2</v>
      </c>
    </row>
    <row r="32" spans="1:42">
      <c r="A32" s="6" t="s">
        <v>29</v>
      </c>
      <c r="B32" s="1244" t="s">
        <v>13</v>
      </c>
      <c r="C32" s="1244"/>
      <c r="D32" s="1244"/>
      <c r="E32" s="1244"/>
      <c r="F32" s="1244"/>
      <c r="G32" s="1244"/>
      <c r="H32" s="1244"/>
      <c r="I32" s="7" t="s">
        <v>15</v>
      </c>
      <c r="J32" s="1245">
        <v>5</v>
      </c>
      <c r="K32" s="1245"/>
      <c r="L32" s="1245"/>
      <c r="M32" s="1245"/>
      <c r="N32" s="1245"/>
      <c r="O32" s="1258" t="s">
        <v>40</v>
      </c>
      <c r="P32" s="1259"/>
      <c r="Q32" s="1259"/>
      <c r="Y32" s="1266">
        <f>J32*((760/10332)*(1/25.4))</f>
        <v>1.4479897329906934E-2</v>
      </c>
      <c r="Z32" s="1266"/>
      <c r="AA32" s="1266"/>
      <c r="AB32" s="1266"/>
      <c r="AC32" t="s">
        <v>2</v>
      </c>
    </row>
    <row r="33" spans="1:29">
      <c r="A33" s="6" t="s">
        <v>34</v>
      </c>
      <c r="B33" s="1244" t="s">
        <v>14</v>
      </c>
      <c r="C33" s="1244"/>
      <c r="D33" s="1244"/>
      <c r="E33" s="1244"/>
      <c r="F33" s="1244"/>
      <c r="G33" s="1244"/>
      <c r="H33" s="1244"/>
      <c r="I33" s="7" t="s">
        <v>15</v>
      </c>
      <c r="J33" s="1256">
        <f>Y19</f>
        <v>0</v>
      </c>
      <c r="K33" s="1256"/>
      <c r="L33" s="1256"/>
      <c r="M33" s="1256"/>
      <c r="N33" s="1256"/>
      <c r="O33" s="1258" t="s">
        <v>2</v>
      </c>
      <c r="P33" s="1259"/>
      <c r="Q33" s="1259"/>
      <c r="Y33" s="2"/>
      <c r="Z33" s="2"/>
      <c r="AA33" s="2"/>
      <c r="AB33" s="2"/>
    </row>
    <row r="34" spans="1:29">
      <c r="A34" s="6" t="s">
        <v>35</v>
      </c>
      <c r="B34" s="1244" t="s">
        <v>31</v>
      </c>
      <c r="C34" s="1244"/>
      <c r="D34" s="1244"/>
      <c r="E34" s="1244"/>
      <c r="F34" s="1244"/>
      <c r="G34" s="1244"/>
      <c r="H34" s="1244"/>
      <c r="I34" s="7" t="s">
        <v>15</v>
      </c>
      <c r="J34" s="1245" t="e">
        <f>'먼지측정 사전 Data'!R69</f>
        <v>#DIV/0!</v>
      </c>
      <c r="K34" s="1245"/>
      <c r="L34" s="1245"/>
      <c r="M34" s="1245"/>
      <c r="N34" s="1245"/>
      <c r="O34" s="1260" t="s">
        <v>39</v>
      </c>
      <c r="P34" s="1261"/>
      <c r="Q34" s="1261"/>
      <c r="Y34" s="1267" t="e">
        <f>((9/5)*J34)+32</f>
        <v>#DIV/0!</v>
      </c>
      <c r="Z34" s="1267"/>
      <c r="AA34" s="1267"/>
      <c r="AB34" s="1267"/>
      <c r="AC34" s="8" t="s">
        <v>30</v>
      </c>
    </row>
    <row r="35" spans="1:29">
      <c r="A35" s="6" t="s">
        <v>36</v>
      </c>
      <c r="B35" s="1244" t="s">
        <v>32</v>
      </c>
      <c r="C35" s="1244"/>
      <c r="D35" s="1244"/>
      <c r="E35" s="1244"/>
      <c r="F35" s="1244"/>
      <c r="G35" s="1244"/>
      <c r="H35" s="1244"/>
      <c r="I35" s="7" t="s">
        <v>15</v>
      </c>
      <c r="J35" s="1262">
        <v>22.853999999999999</v>
      </c>
      <c r="K35" s="1263"/>
      <c r="L35" s="1263"/>
      <c r="M35" s="1263"/>
      <c r="N35" s="1264"/>
      <c r="O35" s="10" t="s">
        <v>40</v>
      </c>
      <c r="P35" s="10"/>
      <c r="Q35" s="10"/>
      <c r="Y35" s="1266">
        <f>J35*((760/10332)*(1/25.4))</f>
        <v>6.6184714715538606E-2</v>
      </c>
      <c r="Z35" s="1266"/>
      <c r="AA35" s="1266"/>
      <c r="AB35" s="1266"/>
      <c r="AC35" t="s">
        <v>2</v>
      </c>
    </row>
    <row r="36" spans="1:29" ht="17.25">
      <c r="A36" s="6" t="s">
        <v>43</v>
      </c>
      <c r="B36" s="1244" t="s">
        <v>37</v>
      </c>
      <c r="C36" s="1244"/>
      <c r="D36" s="1244"/>
      <c r="E36" s="1244"/>
      <c r="F36" s="1244"/>
      <c r="G36" s="1244"/>
      <c r="H36" s="1244"/>
      <c r="I36" s="7" t="s">
        <v>15</v>
      </c>
      <c r="J36" s="1245">
        <v>3</v>
      </c>
      <c r="K36" s="1245"/>
      <c r="L36" s="1245"/>
      <c r="M36" s="1245"/>
      <c r="N36" s="1245"/>
      <c r="O36" s="1258" t="s">
        <v>42</v>
      </c>
      <c r="P36" s="1259"/>
      <c r="Q36" s="1259"/>
      <c r="Y36" s="1250">
        <f>J36*1.728</f>
        <v>5.1840000000000002</v>
      </c>
      <c r="Z36" s="1250"/>
      <c r="AA36" s="1250"/>
      <c r="AB36" s="1250"/>
      <c r="AC36" t="s">
        <v>45</v>
      </c>
    </row>
    <row r="37" spans="1:29">
      <c r="A37" s="6" t="s">
        <v>127</v>
      </c>
      <c r="B37" s="1244" t="s">
        <v>44</v>
      </c>
      <c r="C37" s="1244"/>
      <c r="D37" s="1244"/>
      <c r="E37" s="1244"/>
      <c r="F37" s="1244"/>
      <c r="G37" s="1244"/>
      <c r="H37" s="1244"/>
      <c r="I37" s="7" t="s">
        <v>15</v>
      </c>
      <c r="J37" s="1257" t="e">
        <f>('먼지측정 사전 Data'!H59)/100</f>
        <v>#DIV/0!</v>
      </c>
      <c r="K37" s="1257"/>
      <c r="L37" s="1257"/>
      <c r="M37" s="1257"/>
      <c r="N37" s="1257"/>
      <c r="O37" s="1258"/>
      <c r="P37" s="1259"/>
      <c r="Q37" s="1259"/>
      <c r="Y37" s="2"/>
      <c r="Z37" s="2"/>
      <c r="AA37" s="2"/>
      <c r="AB37" s="2"/>
    </row>
    <row r="38" spans="1:29">
      <c r="A38" s="6" t="s">
        <v>128</v>
      </c>
      <c r="B38" s="1244" t="s">
        <v>134</v>
      </c>
      <c r="C38" s="1244"/>
      <c r="D38" s="1244"/>
      <c r="E38" s="1244"/>
      <c r="F38" s="1244"/>
      <c r="G38" s="1244"/>
      <c r="H38" s="1244"/>
      <c r="I38" s="7" t="s">
        <v>15</v>
      </c>
      <c r="J38" s="1256"/>
      <c r="K38" s="1256"/>
      <c r="L38" s="1256"/>
      <c r="M38" s="1256"/>
      <c r="N38" s="1256"/>
    </row>
    <row r="39" spans="1:29">
      <c r="A39" s="6" t="s">
        <v>129</v>
      </c>
      <c r="B39" s="1244"/>
      <c r="C39" s="1244"/>
      <c r="D39" s="1244"/>
      <c r="E39" s="1244"/>
      <c r="F39" s="1244"/>
      <c r="G39" s="1244"/>
      <c r="H39" s="1244"/>
      <c r="I39" s="7" t="s">
        <v>15</v>
      </c>
      <c r="J39" s="1256"/>
      <c r="K39" s="1256"/>
      <c r="L39" s="1256"/>
      <c r="M39" s="1256"/>
      <c r="N39" s="1256"/>
    </row>
    <row r="40" spans="1:29">
      <c r="A40" s="6" t="s">
        <v>130</v>
      </c>
      <c r="B40" s="1244"/>
      <c r="C40" s="1244"/>
      <c r="D40" s="1244"/>
      <c r="E40" s="1244"/>
      <c r="F40" s="1244"/>
      <c r="G40" s="1244"/>
      <c r="H40" s="1244"/>
      <c r="I40" s="7" t="s">
        <v>15</v>
      </c>
      <c r="J40" s="1256"/>
      <c r="K40" s="1256"/>
      <c r="L40" s="1256"/>
      <c r="M40" s="1256"/>
      <c r="N40" s="1256"/>
    </row>
    <row r="41" spans="1:29">
      <c r="A41" s="6" t="s">
        <v>131</v>
      </c>
      <c r="B41" s="1244"/>
      <c r="C41" s="1244"/>
      <c r="D41" s="1244"/>
      <c r="E41" s="1244"/>
      <c r="F41" s="1244"/>
      <c r="G41" s="1244"/>
      <c r="H41" s="1244"/>
      <c r="I41" s="7" t="s">
        <v>15</v>
      </c>
      <c r="J41" s="1256"/>
      <c r="K41" s="1256"/>
      <c r="L41" s="1256"/>
      <c r="M41" s="1256"/>
      <c r="N41" s="1256"/>
    </row>
    <row r="42" spans="1:29">
      <c r="A42" s="6" t="s">
        <v>132</v>
      </c>
      <c r="B42" s="1244"/>
      <c r="C42" s="1244"/>
      <c r="D42" s="1244"/>
      <c r="E42" s="1244"/>
      <c r="F42" s="1244"/>
      <c r="G42" s="1244"/>
      <c r="H42" s="1244"/>
      <c r="I42" s="7" t="s">
        <v>15</v>
      </c>
      <c r="J42" s="1256"/>
      <c r="K42" s="1256"/>
      <c r="L42" s="1256"/>
      <c r="M42" s="1256"/>
      <c r="N42" s="1256"/>
    </row>
    <row r="43" spans="1:29">
      <c r="A43" s="6" t="s">
        <v>133</v>
      </c>
      <c r="B43" s="1244"/>
      <c r="C43" s="1244"/>
      <c r="D43" s="1244"/>
      <c r="E43" s="1244"/>
      <c r="F43" s="1244"/>
      <c r="G43" s="1244"/>
      <c r="H43" s="1244"/>
      <c r="I43" s="7" t="s">
        <v>15</v>
      </c>
      <c r="J43" s="1256"/>
      <c r="K43" s="1256"/>
      <c r="L43" s="1256"/>
      <c r="M43" s="1256"/>
      <c r="N43" s="1256"/>
    </row>
  </sheetData>
  <mergeCells count="185">
    <mergeCell ref="S18:U18"/>
    <mergeCell ref="V18:X18"/>
    <mergeCell ref="Y18:AA18"/>
    <mergeCell ref="AB18:AD18"/>
    <mergeCell ref="S15:U15"/>
    <mergeCell ref="V15:X15"/>
    <mergeCell ref="Y15:AA15"/>
    <mergeCell ref="AB15:AD15"/>
    <mergeCell ref="S16:U16"/>
    <mergeCell ref="V16:X16"/>
    <mergeCell ref="Y16:AA16"/>
    <mergeCell ref="AB16:AD16"/>
    <mergeCell ref="S17:U17"/>
    <mergeCell ref="V17:X17"/>
    <mergeCell ref="Y17:AA17"/>
    <mergeCell ref="AB17:AD17"/>
    <mergeCell ref="V12:X12"/>
    <mergeCell ref="Y12:AA12"/>
    <mergeCell ref="AB12:AD12"/>
    <mergeCell ref="S13:U13"/>
    <mergeCell ref="V13:X13"/>
    <mergeCell ref="Y13:AA13"/>
    <mergeCell ref="AB13:AD13"/>
    <mergeCell ref="S14:U14"/>
    <mergeCell ref="V14:X14"/>
    <mergeCell ref="Y14:AA14"/>
    <mergeCell ref="AB14:AD14"/>
    <mergeCell ref="B43:H43"/>
    <mergeCell ref="J43:N43"/>
    <mergeCell ref="B38:H38"/>
    <mergeCell ref="J38:N38"/>
    <mergeCell ref="B39:H39"/>
    <mergeCell ref="J39:N39"/>
    <mergeCell ref="B40:H40"/>
    <mergeCell ref="J40:N40"/>
    <mergeCell ref="B41:H41"/>
    <mergeCell ref="J41:N41"/>
    <mergeCell ref="B42:H42"/>
    <mergeCell ref="J42:N42"/>
    <mergeCell ref="A1:I2"/>
    <mergeCell ref="E6:G7"/>
    <mergeCell ref="J5:L6"/>
    <mergeCell ref="M5:M6"/>
    <mergeCell ref="J7:L8"/>
    <mergeCell ref="S5:U6"/>
    <mergeCell ref="X5:Z6"/>
    <mergeCell ref="B19:H19"/>
    <mergeCell ref="B20:H20"/>
    <mergeCell ref="R5:R6"/>
    <mergeCell ref="R7:R8"/>
    <mergeCell ref="V6:V7"/>
    <mergeCell ref="I11:K11"/>
    <mergeCell ref="I12:K12"/>
    <mergeCell ref="I13:K13"/>
    <mergeCell ref="I14:K14"/>
    <mergeCell ref="I15:K15"/>
    <mergeCell ref="B10:N10"/>
    <mergeCell ref="R10:AD10"/>
    <mergeCell ref="S11:U11"/>
    <mergeCell ref="V11:X11"/>
    <mergeCell ref="Y11:AA11"/>
    <mergeCell ref="AB11:AD11"/>
    <mergeCell ref="S12:U12"/>
    <mergeCell ref="B21:H21"/>
    <mergeCell ref="B22:H22"/>
    <mergeCell ref="B23:H23"/>
    <mergeCell ref="N5:Q6"/>
    <mergeCell ref="O19:Q19"/>
    <mergeCell ref="O22:Q22"/>
    <mergeCell ref="O23:Q23"/>
    <mergeCell ref="O21:Q21"/>
    <mergeCell ref="O20:Q20"/>
    <mergeCell ref="J19:N19"/>
    <mergeCell ref="J20:N20"/>
    <mergeCell ref="J21:N21"/>
    <mergeCell ref="J22:N22"/>
    <mergeCell ref="J23:N23"/>
    <mergeCell ref="M7:M8"/>
    <mergeCell ref="F16:H16"/>
    <mergeCell ref="F17:H17"/>
    <mergeCell ref="I16:K16"/>
    <mergeCell ref="I17:K17"/>
    <mergeCell ref="L16:N16"/>
    <mergeCell ref="L17:N17"/>
    <mergeCell ref="N7:Q8"/>
    <mergeCell ref="L15:N15"/>
    <mergeCell ref="B26:H26"/>
    <mergeCell ref="Y36:AB36"/>
    <mergeCell ref="J29:N29"/>
    <mergeCell ref="J30:N30"/>
    <mergeCell ref="J31:N31"/>
    <mergeCell ref="J32:N32"/>
    <mergeCell ref="J33:N33"/>
    <mergeCell ref="B32:H32"/>
    <mergeCell ref="B33:H33"/>
    <mergeCell ref="B29:H29"/>
    <mergeCell ref="B30:H30"/>
    <mergeCell ref="B31:H31"/>
    <mergeCell ref="Y32:AB32"/>
    <mergeCell ref="Y34:AB34"/>
    <mergeCell ref="Y31:AB31"/>
    <mergeCell ref="Y35:AB35"/>
    <mergeCell ref="B27:H27"/>
    <mergeCell ref="B28:H28"/>
    <mergeCell ref="B24:H24"/>
    <mergeCell ref="J26:N26"/>
    <mergeCell ref="J27:N27"/>
    <mergeCell ref="B37:H37"/>
    <mergeCell ref="J37:N37"/>
    <mergeCell ref="O37:Q37"/>
    <mergeCell ref="S7:U8"/>
    <mergeCell ref="O33:Q33"/>
    <mergeCell ref="O32:Q32"/>
    <mergeCell ref="O31:Q31"/>
    <mergeCell ref="O24:Q24"/>
    <mergeCell ref="O26:Q26"/>
    <mergeCell ref="O27:Q27"/>
    <mergeCell ref="O34:Q34"/>
    <mergeCell ref="J28:N28"/>
    <mergeCell ref="O36:Q36"/>
    <mergeCell ref="B35:H35"/>
    <mergeCell ref="J35:N35"/>
    <mergeCell ref="J24:N24"/>
    <mergeCell ref="B34:H34"/>
    <mergeCell ref="J34:N34"/>
    <mergeCell ref="A6:D7"/>
    <mergeCell ref="B36:H36"/>
    <mergeCell ref="J36:N36"/>
    <mergeCell ref="B25:H25"/>
    <mergeCell ref="J25:N25"/>
    <mergeCell ref="AF1:AM2"/>
    <mergeCell ref="AM22:AP22"/>
    <mergeCell ref="C12:E12"/>
    <mergeCell ref="C13:E13"/>
    <mergeCell ref="C14:E14"/>
    <mergeCell ref="C15:E15"/>
    <mergeCell ref="C16:E16"/>
    <mergeCell ref="C17:E17"/>
    <mergeCell ref="C11:E11"/>
    <mergeCell ref="F11:H11"/>
    <mergeCell ref="F12:H12"/>
    <mergeCell ref="F13:H13"/>
    <mergeCell ref="F14:H14"/>
    <mergeCell ref="F15:H15"/>
    <mergeCell ref="Y20:AB20"/>
    <mergeCell ref="Y19:AB19"/>
    <mergeCell ref="AB5:AD6"/>
    <mergeCell ref="X7:Z8"/>
    <mergeCell ref="L11:N11"/>
    <mergeCell ref="L12:N12"/>
    <mergeCell ref="L13:N13"/>
    <mergeCell ref="L14:N14"/>
    <mergeCell ref="AV6:AW6"/>
    <mergeCell ref="AE5:AG6"/>
    <mergeCell ref="AH5:AM6"/>
    <mergeCell ref="AY11:AZ11"/>
    <mergeCell ref="AQ10:AR10"/>
    <mergeCell ref="AS10:AT10"/>
    <mergeCell ref="AU10:AU11"/>
    <mergeCell ref="AQ11:AR11"/>
    <mergeCell ref="AS11:AT11"/>
    <mergeCell ref="AA7:AA8"/>
    <mergeCell ref="AA5:AA6"/>
    <mergeCell ref="AB7:AD8"/>
    <mergeCell ref="AF8:AG8"/>
    <mergeCell ref="AH8:AK8"/>
    <mergeCell ref="AN5:AT5"/>
    <mergeCell ref="AN6:AT6"/>
    <mergeCell ref="BE10:BG11"/>
    <mergeCell ref="AY5:AZ5"/>
    <mergeCell ref="AY6:AZ6"/>
    <mergeCell ref="BA5:BD6"/>
    <mergeCell ref="BE5:BG6"/>
    <mergeCell ref="BA10:BC11"/>
    <mergeCell ref="BD10:BD11"/>
    <mergeCell ref="AH10:AJ11"/>
    <mergeCell ref="AK10:AL11"/>
    <mergeCell ref="AM10:AO11"/>
    <mergeCell ref="AV10:AW10"/>
    <mergeCell ref="AV11:AW11"/>
    <mergeCell ref="AX10:AX11"/>
    <mergeCell ref="AY10:AZ10"/>
    <mergeCell ref="AU5:AU6"/>
    <mergeCell ref="AX5:AX6"/>
    <mergeCell ref="AV5:AW5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21"/>
  <sheetViews>
    <sheetView topLeftCell="A13" zoomScaleNormal="100" workbookViewId="0">
      <selection activeCell="O13" sqref="O13:Q14"/>
    </sheetView>
  </sheetViews>
  <sheetFormatPr defaultColWidth="9" defaultRowHeight="13.5"/>
  <cols>
    <col min="1" max="2" width="6.375" style="270" customWidth="1"/>
    <col min="3" max="3" width="5.125" style="270" customWidth="1"/>
    <col min="4" max="5" width="4.625" style="270" customWidth="1"/>
    <col min="6" max="7" width="2.625" style="270" customWidth="1"/>
    <col min="8" max="8" width="6.125" style="270" customWidth="1"/>
    <col min="9" max="9" width="5.75" style="270" customWidth="1"/>
    <col min="10" max="10" width="6.75" style="270" customWidth="1"/>
    <col min="11" max="11" width="5" style="270" customWidth="1"/>
    <col min="12" max="12" width="8.375" style="270" customWidth="1"/>
    <col min="13" max="13" width="11.875" style="270" customWidth="1"/>
    <col min="14" max="14" width="12.125" style="270" customWidth="1"/>
    <col min="15" max="15" width="8.875" style="270" customWidth="1"/>
    <col min="16" max="16" width="9.25" style="270" customWidth="1"/>
    <col min="17" max="17" width="14.125" style="270" bestFit="1" customWidth="1"/>
    <col min="18" max="19" width="10.625" style="270" customWidth="1"/>
    <col min="20" max="20" width="9" style="270" customWidth="1"/>
    <col min="21" max="21" width="13.625" style="270" customWidth="1"/>
    <col min="22" max="22" width="9.625" style="544" customWidth="1"/>
    <col min="23" max="23" width="12" style="544" customWidth="1"/>
    <col min="24" max="25" width="5.625" style="270" customWidth="1"/>
    <col min="26" max="26" width="2.625" style="270" customWidth="1"/>
    <col min="27" max="27" width="5.625" style="270" customWidth="1"/>
    <col min="28" max="28" width="2.625" style="270" customWidth="1"/>
    <col min="29" max="29" width="4.625" style="270" customWidth="1"/>
    <col min="30" max="30" width="2.625" style="270" customWidth="1"/>
    <col min="31" max="31" width="6.375" style="270" customWidth="1"/>
    <col min="32" max="32" width="2.625" style="270" customWidth="1"/>
    <col min="33" max="33" width="6.75" style="270" customWidth="1"/>
    <col min="34" max="34" width="2.625" style="270" customWidth="1"/>
    <col min="35" max="35" width="6.75" style="270" customWidth="1"/>
    <col min="36" max="36" width="2.625" style="270" customWidth="1"/>
    <col min="37" max="37" width="4.625" style="270" customWidth="1"/>
    <col min="38" max="38" width="2.625" style="270" customWidth="1"/>
    <col min="39" max="39" width="4.625" style="270" customWidth="1"/>
    <col min="40" max="40" width="2.625" style="270" customWidth="1"/>
    <col min="41" max="41" width="6.75" style="270" customWidth="1"/>
    <col min="42" max="59" width="6.25" style="270" customWidth="1"/>
    <col min="60" max="60" width="9" style="270" bestFit="1" customWidth="1"/>
    <col min="61" max="81" width="4.625" style="270" customWidth="1"/>
    <col min="82" max="16384" width="9" style="270"/>
  </cols>
  <sheetData>
    <row r="1" spans="1:27">
      <c r="A1" s="1100" t="s">
        <v>180</v>
      </c>
      <c r="B1" s="1100"/>
      <c r="C1" s="1100"/>
      <c r="D1" s="1100"/>
      <c r="E1" s="1100"/>
      <c r="F1" s="1100"/>
      <c r="G1" s="1100"/>
      <c r="H1" s="1100"/>
      <c r="I1" s="1100"/>
      <c r="J1" s="1100"/>
    </row>
    <row r="2" spans="1:27">
      <c r="A2" s="1100"/>
      <c r="B2" s="1100"/>
      <c r="C2" s="1100"/>
      <c r="D2" s="1100"/>
      <c r="E2" s="1100"/>
      <c r="F2" s="1100"/>
      <c r="G2" s="1100"/>
      <c r="H2" s="1100"/>
      <c r="I2" s="1100"/>
      <c r="J2" s="1100"/>
      <c r="T2" s="1158"/>
      <c r="U2" s="1158"/>
      <c r="V2" s="546"/>
    </row>
    <row r="3" spans="1:27" ht="17.649999999999999">
      <c r="A3" s="271" t="s">
        <v>556</v>
      </c>
      <c r="B3" s="548"/>
      <c r="C3" s="548"/>
      <c r="D3" s="548"/>
      <c r="E3" s="548"/>
      <c r="F3" s="548"/>
      <c r="G3" s="548"/>
      <c r="H3" s="548"/>
      <c r="I3" s="548"/>
      <c r="J3" s="548"/>
      <c r="L3" s="544"/>
      <c r="T3" s="546"/>
      <c r="U3" s="546"/>
      <c r="V3" s="546"/>
    </row>
    <row r="4" spans="1:27" ht="12.75" customHeight="1">
      <c r="A4" s="1111" t="s">
        <v>554</v>
      </c>
      <c r="B4" s="1112"/>
      <c r="C4" s="1112"/>
      <c r="D4" s="1112"/>
      <c r="E4" s="1112"/>
      <c r="F4" s="1007"/>
      <c r="G4" s="551" t="s">
        <v>15</v>
      </c>
      <c r="H4" s="1150"/>
      <c r="I4" s="1148"/>
      <c r="J4" s="1149"/>
      <c r="K4" s="1148"/>
      <c r="L4" s="1149"/>
      <c r="N4" s="561" t="s">
        <v>613</v>
      </c>
      <c r="O4" s="272"/>
      <c r="P4" s="273"/>
      <c r="T4" s="546"/>
      <c r="U4" s="546"/>
      <c r="V4" s="546"/>
    </row>
    <row r="5" spans="1:27" ht="12.75" customHeight="1">
      <c r="A5" s="1111" t="s">
        <v>481</v>
      </c>
      <c r="B5" s="1112"/>
      <c r="C5" s="1112"/>
      <c r="D5" s="1112"/>
      <c r="E5" s="1112"/>
      <c r="F5" s="1007"/>
      <c r="G5" s="551" t="s">
        <v>15</v>
      </c>
      <c r="H5" s="1115" t="str">
        <f>TEXT(N6,"yyyy-mm-dd")&amp;" ~ "&amp;TEXT(R5,"yyyy-mm-dd")</f>
        <v>2026-02-06 ~ 1900-01-00</v>
      </c>
      <c r="I5" s="1116"/>
      <c r="J5" s="1116"/>
      <c r="K5" s="1116"/>
      <c r="L5" s="1117"/>
      <c r="M5" s="550" t="s">
        <v>736</v>
      </c>
      <c r="N5" s="274"/>
      <c r="O5" s="562">
        <f>N5</f>
        <v>0</v>
      </c>
      <c r="P5" s="275">
        <v>0</v>
      </c>
      <c r="Q5" s="550" t="s">
        <v>737</v>
      </c>
      <c r="R5" s="276"/>
      <c r="S5" s="563">
        <f>R5</f>
        <v>0</v>
      </c>
      <c r="T5" s="546"/>
      <c r="U5" s="546"/>
      <c r="V5" s="546"/>
    </row>
    <row r="6" spans="1:27" ht="12.75" customHeight="1">
      <c r="A6" s="1111" t="s">
        <v>1172</v>
      </c>
      <c r="B6" s="1112"/>
      <c r="C6" s="1112"/>
      <c r="D6" s="1112"/>
      <c r="E6" s="1112"/>
      <c r="F6" s="1007"/>
      <c r="G6" s="551" t="s">
        <v>15</v>
      </c>
      <c r="H6" s="277"/>
      <c r="I6" s="278"/>
      <c r="J6" s="277" t="s">
        <v>739</v>
      </c>
      <c r="K6" s="277"/>
      <c r="L6" s="278"/>
      <c r="M6" s="550" t="s">
        <v>780</v>
      </c>
      <c r="N6" s="279">
        <v>46059</v>
      </c>
      <c r="Q6" s="550" t="s">
        <v>738</v>
      </c>
      <c r="R6" s="279">
        <v>46066</v>
      </c>
      <c r="S6" s="563">
        <f>R6</f>
        <v>46066</v>
      </c>
      <c r="T6" s="546"/>
      <c r="U6" s="546"/>
      <c r="V6" s="546"/>
    </row>
    <row r="7" spans="1:27" ht="12.75" customHeight="1">
      <c r="A7" s="1066" t="s">
        <v>553</v>
      </c>
      <c r="B7" s="1067"/>
      <c r="C7" s="1067"/>
      <c r="D7" s="1067"/>
      <c r="E7" s="1067"/>
      <c r="F7" s="1068"/>
      <c r="G7" s="1113" t="s">
        <v>15</v>
      </c>
      <c r="H7" s="1118" t="s">
        <v>552</v>
      </c>
      <c r="I7" s="1119"/>
      <c r="J7" s="1062" t="s">
        <v>428</v>
      </c>
      <c r="K7" s="1062"/>
      <c r="L7" s="1062" t="s">
        <v>456</v>
      </c>
      <c r="M7" s="1062"/>
      <c r="N7" s="280" t="s">
        <v>429</v>
      </c>
      <c r="O7" s="558" t="s">
        <v>430</v>
      </c>
      <c r="P7" s="1166" t="s">
        <v>431</v>
      </c>
      <c r="Q7" s="1167"/>
      <c r="R7" s="281"/>
      <c r="S7" s="281"/>
      <c r="T7" s="281"/>
      <c r="U7" s="281"/>
      <c r="V7" s="281"/>
      <c r="W7" s="282"/>
    </row>
    <row r="8" spans="1:27" ht="18.75" customHeight="1">
      <c r="A8" s="1069"/>
      <c r="B8" s="1070"/>
      <c r="C8" s="1070"/>
      <c r="D8" s="1070"/>
      <c r="E8" s="1070"/>
      <c r="F8" s="1071"/>
      <c r="G8" s="1114"/>
      <c r="H8" s="1103"/>
      <c r="I8" s="1104"/>
      <c r="J8" s="1105"/>
      <c r="K8" s="1105"/>
      <c r="L8" s="1106"/>
      <c r="M8" s="1106"/>
      <c r="N8" s="549"/>
      <c r="O8" s="549"/>
      <c r="P8" s="1168"/>
      <c r="Q8" s="1169"/>
      <c r="R8" s="281"/>
      <c r="S8" s="283"/>
      <c r="T8" s="284"/>
      <c r="U8" s="281"/>
      <c r="V8" s="281"/>
      <c r="W8" s="283"/>
    </row>
    <row r="9" spans="1:27" s="286" customFormat="1" ht="16.5" customHeight="1">
      <c r="A9" s="285"/>
      <c r="B9" s="285"/>
      <c r="C9" s="285"/>
      <c r="D9" s="285"/>
      <c r="H9" s="965" t="s">
        <v>126</v>
      </c>
      <c r="I9" s="965"/>
      <c r="J9" s="965"/>
      <c r="K9" s="965"/>
      <c r="L9" s="965"/>
      <c r="M9" s="1159">
        <f>ROUND(H8*760/1013.25,1)</f>
        <v>0</v>
      </c>
      <c r="N9" s="1160"/>
      <c r="O9" s="1160"/>
      <c r="P9" s="1160"/>
      <c r="Q9" s="1161"/>
      <c r="V9" s="546"/>
      <c r="W9" s="546"/>
    </row>
    <row r="10" spans="1:27" ht="3.95" customHeight="1">
      <c r="H10" s="287"/>
      <c r="I10" s="287"/>
      <c r="J10" s="287"/>
      <c r="K10" s="287"/>
      <c r="L10" s="287"/>
      <c r="M10" s="287"/>
      <c r="N10" s="287"/>
      <c r="O10" s="287"/>
      <c r="P10" s="287"/>
      <c r="Q10" s="287"/>
    </row>
    <row r="11" spans="1:27" s="287" customFormat="1" ht="14.1" customHeight="1">
      <c r="A11" s="271" t="s">
        <v>164</v>
      </c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V11" s="288"/>
      <c r="W11" s="288"/>
    </row>
    <row r="12" spans="1:27" ht="6" customHeight="1"/>
    <row r="13" spans="1:27" ht="12.95" customHeight="1">
      <c r="A13" s="1066" t="s">
        <v>103</v>
      </c>
      <c r="B13" s="1067"/>
      <c r="C13" s="1067"/>
      <c r="D13" s="1067"/>
      <c r="E13" s="1067"/>
      <c r="F13" s="1068"/>
      <c r="G13" s="1107" t="s">
        <v>15</v>
      </c>
      <c r="H13" s="956"/>
      <c r="I13" s="957"/>
      <c r="J13" s="956"/>
      <c r="K13" s="957"/>
      <c r="L13" s="289"/>
      <c r="M13" s="958" t="s">
        <v>41</v>
      </c>
      <c r="N13" s="959"/>
      <c r="O13" s="1174" t="s">
        <v>154</v>
      </c>
      <c r="P13" s="1175"/>
      <c r="Q13" s="1176"/>
      <c r="R13" s="1184">
        <v>20.9</v>
      </c>
      <c r="S13" s="1185"/>
      <c r="T13" s="1170" t="s">
        <v>601</v>
      </c>
      <c r="U13" s="1171"/>
      <c r="V13" s="1171"/>
      <c r="W13" s="1171"/>
      <c r="X13" s="1171"/>
      <c r="Y13" s="1171"/>
      <c r="Z13" s="1171"/>
      <c r="AA13" s="1171"/>
    </row>
    <row r="14" spans="1:27" ht="12.95" customHeight="1">
      <c r="A14" s="1069"/>
      <c r="B14" s="1070"/>
      <c r="C14" s="1070"/>
      <c r="D14" s="1070"/>
      <c r="E14" s="1070"/>
      <c r="F14" s="1071"/>
      <c r="G14" s="1108"/>
      <c r="H14" s="971">
        <f>ROUND((H13+J13+L13)/3,1)</f>
        <v>0</v>
      </c>
      <c r="I14" s="972"/>
      <c r="J14" s="972"/>
      <c r="K14" s="972"/>
      <c r="L14" s="973"/>
      <c r="M14" s="960"/>
      <c r="N14" s="961"/>
      <c r="O14" s="1177"/>
      <c r="P14" s="1178"/>
      <c r="Q14" s="1179"/>
      <c r="R14" s="1186"/>
      <c r="S14" s="1187"/>
      <c r="T14" s="1172"/>
      <c r="U14" s="1171"/>
      <c r="V14" s="1171"/>
      <c r="W14" s="1171"/>
      <c r="X14" s="1171"/>
      <c r="Y14" s="1171"/>
      <c r="Z14" s="1171"/>
      <c r="AA14" s="1171"/>
    </row>
    <row r="15" spans="1:27" ht="12.95" customHeight="1">
      <c r="A15" s="1066" t="s">
        <v>104</v>
      </c>
      <c r="B15" s="1067"/>
      <c r="C15" s="1067"/>
      <c r="D15" s="1067"/>
      <c r="E15" s="1067"/>
      <c r="F15" s="1068"/>
      <c r="G15" s="1107" t="s">
        <v>15</v>
      </c>
      <c r="H15" s="1109"/>
      <c r="I15" s="1110"/>
      <c r="J15" s="1109"/>
      <c r="K15" s="1110"/>
      <c r="L15" s="547"/>
      <c r="M15" s="958" t="s">
        <v>41</v>
      </c>
      <c r="N15" s="959"/>
      <c r="O15" s="1174" t="s">
        <v>543</v>
      </c>
      <c r="P15" s="1175"/>
      <c r="Q15" s="1176"/>
      <c r="R15" s="1180" t="str">
        <f>IF(R13=20.9,"-",(21-R13)/(21-H14))</f>
        <v>-</v>
      </c>
      <c r="S15" s="1181"/>
      <c r="W15" s="290"/>
    </row>
    <row r="16" spans="1:27" ht="12.95" customHeight="1">
      <c r="A16" s="1069"/>
      <c r="B16" s="1070"/>
      <c r="C16" s="1070"/>
      <c r="D16" s="1070"/>
      <c r="E16" s="1070"/>
      <c r="F16" s="1071"/>
      <c r="G16" s="1108"/>
      <c r="H16" s="971">
        <f>ROUND((H15+J15+L15)/3,1)</f>
        <v>0</v>
      </c>
      <c r="I16" s="972"/>
      <c r="J16" s="972"/>
      <c r="K16" s="972"/>
      <c r="L16" s="973"/>
      <c r="M16" s="960"/>
      <c r="N16" s="961"/>
      <c r="O16" s="1177"/>
      <c r="P16" s="1178"/>
      <c r="Q16" s="1179"/>
      <c r="R16" s="1182"/>
      <c r="S16" s="1183"/>
      <c r="W16" s="290"/>
    </row>
    <row r="17" spans="1:44" ht="12.95" customHeight="1">
      <c r="A17" s="1066" t="s">
        <v>105</v>
      </c>
      <c r="B17" s="1067"/>
      <c r="C17" s="1067"/>
      <c r="D17" s="1067"/>
      <c r="E17" s="1067"/>
      <c r="F17" s="1068"/>
      <c r="G17" s="551" t="s">
        <v>15</v>
      </c>
      <c r="H17" s="1072"/>
      <c r="I17" s="1072"/>
      <c r="J17" s="1072"/>
      <c r="K17" s="1072"/>
      <c r="L17" s="547"/>
      <c r="M17" s="958" t="s">
        <v>41</v>
      </c>
      <c r="N17" s="959"/>
      <c r="O17" s="965" t="s">
        <v>555</v>
      </c>
      <c r="P17" s="965"/>
      <c r="Q17" s="965"/>
      <c r="R17" s="974" t="e">
        <f>ROUND(((32*H14+44*H16+28*H19)*(100-H59)/100+(18*H59))/(22.4*100),2)</f>
        <v>#DIV/0!</v>
      </c>
      <c r="S17" s="974"/>
    </row>
    <row r="18" spans="1:44" ht="12.95" customHeight="1">
      <c r="A18" s="1069"/>
      <c r="B18" s="1070"/>
      <c r="C18" s="1070"/>
      <c r="D18" s="1070"/>
      <c r="E18" s="1070"/>
      <c r="F18" s="1071"/>
      <c r="G18" s="551"/>
      <c r="H18" s="971">
        <f>ROUND((H17+J17+L17)/3,1)</f>
        <v>0</v>
      </c>
      <c r="I18" s="972"/>
      <c r="J18" s="972"/>
      <c r="K18" s="972"/>
      <c r="L18" s="973"/>
      <c r="M18" s="960"/>
      <c r="N18" s="961"/>
      <c r="O18" s="965"/>
      <c r="P18" s="965"/>
      <c r="Q18" s="965"/>
      <c r="R18" s="974"/>
      <c r="S18" s="974"/>
    </row>
    <row r="19" spans="1:44" ht="12.95" customHeight="1">
      <c r="A19" s="1102" t="s">
        <v>106</v>
      </c>
      <c r="B19" s="1102"/>
      <c r="C19" s="1102"/>
      <c r="D19" s="1102"/>
      <c r="E19" s="1102"/>
      <c r="F19" s="1102"/>
      <c r="G19" s="551" t="s">
        <v>15</v>
      </c>
      <c r="H19" s="1101">
        <f>100-(H14+H16+H17)</f>
        <v>100</v>
      </c>
      <c r="I19" s="1101"/>
      <c r="J19" s="1101"/>
      <c r="K19" s="1101"/>
      <c r="L19" s="1101"/>
      <c r="M19" s="970" t="s">
        <v>41</v>
      </c>
      <c r="N19" s="970"/>
      <c r="O19" s="965"/>
      <c r="P19" s="965"/>
      <c r="Q19" s="965"/>
      <c r="R19" s="974"/>
      <c r="S19" s="974"/>
      <c r="T19" s="1173" t="s">
        <v>596</v>
      </c>
      <c r="U19" s="544">
        <v>32</v>
      </c>
      <c r="V19" s="544" t="s">
        <v>483</v>
      </c>
      <c r="W19" s="291">
        <f>H14</f>
        <v>0</v>
      </c>
      <c r="X19" s="544" t="s">
        <v>56</v>
      </c>
      <c r="Y19" s="292">
        <v>44</v>
      </c>
      <c r="Z19" s="544" t="s">
        <v>483</v>
      </c>
      <c r="AA19" s="293">
        <f>H16</f>
        <v>0</v>
      </c>
      <c r="AB19" s="544" t="s">
        <v>56</v>
      </c>
      <c r="AC19" s="544">
        <v>28</v>
      </c>
      <c r="AD19" s="544" t="s">
        <v>483</v>
      </c>
      <c r="AE19" s="293">
        <f>H19</f>
        <v>100</v>
      </c>
      <c r="AF19" s="294" t="s">
        <v>483</v>
      </c>
      <c r="AG19" s="544">
        <v>100</v>
      </c>
      <c r="AH19" s="544" t="s">
        <v>158</v>
      </c>
      <c r="AI19" s="295" t="e">
        <f>H59</f>
        <v>#DIV/0!</v>
      </c>
      <c r="AJ19" s="544" t="s">
        <v>484</v>
      </c>
      <c r="AK19" s="544">
        <v>100</v>
      </c>
      <c r="AL19" s="544" t="s">
        <v>56</v>
      </c>
      <c r="AM19" s="544">
        <v>18</v>
      </c>
      <c r="AN19" s="544" t="s">
        <v>483</v>
      </c>
      <c r="AO19" s="295" t="e">
        <f>H59</f>
        <v>#DIV/0!</v>
      </c>
    </row>
    <row r="20" spans="1:44" ht="12.95" customHeight="1">
      <c r="A20" s="965" t="s">
        <v>107</v>
      </c>
      <c r="B20" s="965"/>
      <c r="C20" s="965"/>
      <c r="D20" s="965"/>
      <c r="E20" s="965"/>
      <c r="F20" s="965"/>
      <c r="G20" s="551" t="s">
        <v>15</v>
      </c>
      <c r="H20" s="966">
        <f>M9</f>
        <v>0</v>
      </c>
      <c r="I20" s="967"/>
      <c r="J20" s="967"/>
      <c r="K20" s="967"/>
      <c r="L20" s="968"/>
      <c r="M20" s="969" t="s">
        <v>38</v>
      </c>
      <c r="N20" s="970"/>
      <c r="O20" s="965"/>
      <c r="P20" s="965"/>
      <c r="Q20" s="965"/>
      <c r="R20" s="974"/>
      <c r="S20" s="974"/>
      <c r="T20" s="1173"/>
      <c r="U20" s="296"/>
      <c r="V20" s="297"/>
      <c r="W20" s="297"/>
      <c r="X20" s="296"/>
      <c r="Y20" s="297">
        <v>22.4</v>
      </c>
      <c r="Z20" s="297" t="s">
        <v>483</v>
      </c>
      <c r="AA20" s="297">
        <v>100</v>
      </c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</row>
    <row r="21" spans="1:44" s="287" customFormat="1" ht="14.1" customHeight="1">
      <c r="A21" s="298"/>
      <c r="B21" s="298"/>
      <c r="C21" s="298"/>
      <c r="D21" s="298"/>
      <c r="E21" s="298"/>
      <c r="F21" s="1063" t="s">
        <v>527</v>
      </c>
      <c r="G21" s="1064"/>
      <c r="H21" s="962"/>
      <c r="I21" s="963"/>
      <c r="J21" s="962"/>
      <c r="K21" s="963"/>
      <c r="L21" s="542"/>
      <c r="M21" s="559">
        <f>ROUND((H21+J21+L21)/3,1)</f>
        <v>0</v>
      </c>
      <c r="O21" s="286" t="s">
        <v>472</v>
      </c>
      <c r="U21" s="987"/>
      <c r="V21" s="987"/>
      <c r="W21" s="288"/>
    </row>
    <row r="22" spans="1:44" s="287" customFormat="1" ht="14.1" customHeight="1">
      <c r="A22" s="271" t="s">
        <v>165</v>
      </c>
      <c r="B22" s="271"/>
      <c r="C22" s="271"/>
      <c r="D22" s="271"/>
      <c r="E22" s="271"/>
      <c r="F22" s="1065" t="s">
        <v>529</v>
      </c>
      <c r="G22" s="1065"/>
      <c r="H22" s="964"/>
      <c r="I22" s="964"/>
      <c r="J22" s="964"/>
      <c r="K22" s="964"/>
      <c r="L22" s="542"/>
      <c r="M22" s="559">
        <f>ROUND((H22+J22+L22)/3,1)</f>
        <v>0</v>
      </c>
      <c r="N22" s="299"/>
      <c r="O22" s="1065" t="s">
        <v>467</v>
      </c>
      <c r="P22" s="1065"/>
      <c r="Q22" s="964"/>
      <c r="R22" s="964"/>
      <c r="S22" s="964"/>
      <c r="T22" s="964"/>
      <c r="U22" s="542"/>
      <c r="V22" s="559">
        <f>ROUND((Q22+S22+U22)/3,1)</f>
        <v>0</v>
      </c>
    </row>
    <row r="23" spans="1:44" s="287" customFormat="1" ht="6" customHeight="1">
      <c r="A23" s="271"/>
      <c r="B23" s="271"/>
      <c r="C23" s="271"/>
      <c r="D23" s="271"/>
      <c r="E23" s="271"/>
      <c r="F23" s="271"/>
      <c r="M23" s="285"/>
      <c r="N23" s="285"/>
      <c r="U23" s="544"/>
      <c r="V23" s="544"/>
      <c r="W23" s="288"/>
    </row>
    <row r="24" spans="1:44" s="287" customFormat="1" ht="14.45" customHeight="1">
      <c r="A24" s="1134" t="s">
        <v>159</v>
      </c>
      <c r="B24" s="1134"/>
      <c r="C24" s="1134"/>
      <c r="D24" s="1134" t="s">
        <v>166</v>
      </c>
      <c r="E24" s="1134"/>
      <c r="F24" s="1134" t="s">
        <v>167</v>
      </c>
      <c r="G24" s="1134"/>
      <c r="H24" s="1134"/>
      <c r="I24" s="965" t="s">
        <v>168</v>
      </c>
      <c r="J24" s="965"/>
      <c r="K24" s="965"/>
      <c r="L24" s="965"/>
      <c r="M24" s="965"/>
      <c r="N24" s="965"/>
      <c r="O24" s="965"/>
      <c r="P24" s="965"/>
      <c r="Q24" s="965"/>
      <c r="R24" s="965"/>
      <c r="U24" s="544"/>
      <c r="V24" s="544"/>
      <c r="W24" s="300"/>
      <c r="X24" s="301"/>
      <c r="Y24" s="301"/>
      <c r="Z24" s="302"/>
      <c r="AA24" s="302"/>
      <c r="AB24" s="270"/>
      <c r="AC24" s="303"/>
      <c r="AD24" s="303"/>
      <c r="AE24" s="301"/>
      <c r="AF24" s="302"/>
      <c r="AG24" s="302"/>
      <c r="AH24" s="302"/>
      <c r="AI24" s="302"/>
      <c r="AO24" s="304"/>
      <c r="AP24" s="304"/>
      <c r="AR24" s="305"/>
    </row>
    <row r="25" spans="1:44" s="287" customFormat="1" ht="14.45" customHeight="1" thickBot="1">
      <c r="A25" s="1095"/>
      <c r="B25" s="1095"/>
      <c r="C25" s="1095"/>
      <c r="D25" s="1095"/>
      <c r="E25" s="1095"/>
      <c r="F25" s="1095"/>
      <c r="G25" s="1095"/>
      <c r="H25" s="1095"/>
      <c r="I25" s="1014" t="s">
        <v>169</v>
      </c>
      <c r="J25" s="1014"/>
      <c r="K25" s="1014" t="s">
        <v>160</v>
      </c>
      <c r="L25" s="1014"/>
      <c r="M25" s="1014" t="s">
        <v>161</v>
      </c>
      <c r="N25" s="1014"/>
      <c r="O25" s="1014" t="s">
        <v>162</v>
      </c>
      <c r="P25" s="1014"/>
      <c r="Q25" s="1014" t="s">
        <v>163</v>
      </c>
      <c r="R25" s="1014"/>
      <c r="U25" s="544"/>
      <c r="V25" s="544"/>
      <c r="W25" s="306"/>
      <c r="X25" s="307"/>
      <c r="Y25" s="307"/>
      <c r="Z25" s="308"/>
      <c r="AA25" s="308"/>
      <c r="AB25" s="270"/>
      <c r="AC25" s="309"/>
      <c r="AD25" s="309"/>
      <c r="AE25" s="310"/>
      <c r="AF25" s="311"/>
      <c r="AG25" s="311"/>
      <c r="AH25" s="311"/>
      <c r="AI25" s="311"/>
      <c r="AO25" s="304"/>
      <c r="AP25" s="304"/>
      <c r="AR25" s="305"/>
    </row>
    <row r="26" spans="1:44" s="287" customFormat="1" ht="15" customHeight="1" thickTop="1">
      <c r="A26" s="1130" t="s">
        <v>170</v>
      </c>
      <c r="B26" s="1130"/>
      <c r="C26" s="1130"/>
      <c r="D26" s="1129">
        <v>1</v>
      </c>
      <c r="E26" s="1129"/>
      <c r="F26" s="1129">
        <v>4</v>
      </c>
      <c r="G26" s="1129"/>
      <c r="H26" s="1129"/>
      <c r="I26" s="1137">
        <v>0.70699999999999996</v>
      </c>
      <c r="J26" s="1137"/>
      <c r="K26" s="1135" t="s">
        <v>158</v>
      </c>
      <c r="L26" s="1135"/>
      <c r="M26" s="1135" t="s">
        <v>158</v>
      </c>
      <c r="N26" s="1135"/>
      <c r="O26" s="1135" t="s">
        <v>158</v>
      </c>
      <c r="P26" s="1135"/>
      <c r="Q26" s="1135" t="s">
        <v>158</v>
      </c>
      <c r="R26" s="1135"/>
      <c r="U26" s="544"/>
      <c r="V26" s="544"/>
      <c r="W26" s="306"/>
      <c r="X26" s="307"/>
      <c r="Y26" s="307"/>
      <c r="Z26" s="307"/>
      <c r="AA26" s="312"/>
      <c r="AB26" s="270"/>
      <c r="AC26" s="270"/>
      <c r="AD26" s="306"/>
      <c r="AE26" s="310"/>
      <c r="AF26" s="310"/>
      <c r="AH26" s="310"/>
      <c r="AO26" s="304"/>
      <c r="AP26" s="304"/>
      <c r="AR26" s="305"/>
    </row>
    <row r="27" spans="1:44" s="287" customFormat="1" ht="15" customHeight="1">
      <c r="A27" s="1131" t="s">
        <v>171</v>
      </c>
      <c r="B27" s="1131"/>
      <c r="C27" s="1131"/>
      <c r="D27" s="1127">
        <v>2</v>
      </c>
      <c r="E27" s="1127"/>
      <c r="F27" s="1127">
        <v>8</v>
      </c>
      <c r="G27" s="1127"/>
      <c r="H27" s="1127"/>
      <c r="I27" s="1136">
        <v>0.5</v>
      </c>
      <c r="J27" s="1136"/>
      <c r="K27" s="1023">
        <v>0.86599999999999999</v>
      </c>
      <c r="L27" s="1023"/>
      <c r="M27" s="1021" t="s">
        <v>158</v>
      </c>
      <c r="N27" s="1021"/>
      <c r="O27" s="1021" t="s">
        <v>158</v>
      </c>
      <c r="P27" s="1021"/>
      <c r="Q27" s="1021" t="s">
        <v>158</v>
      </c>
      <c r="R27" s="1021"/>
      <c r="U27" s="313"/>
      <c r="V27" s="544"/>
      <c r="W27" s="300"/>
      <c r="X27" s="301"/>
      <c r="Y27" s="301"/>
      <c r="Z27" s="302"/>
      <c r="AA27" s="302"/>
      <c r="AB27" s="270"/>
      <c r="AC27" s="303"/>
      <c r="AD27" s="303"/>
      <c r="AE27" s="301"/>
      <c r="AF27" s="302"/>
      <c r="AG27" s="302"/>
      <c r="AH27" s="302"/>
      <c r="AI27" s="302"/>
    </row>
    <row r="28" spans="1:44" s="287" customFormat="1" ht="15" customHeight="1">
      <c r="A28" s="1131" t="s">
        <v>172</v>
      </c>
      <c r="B28" s="1131"/>
      <c r="C28" s="1131"/>
      <c r="D28" s="1127">
        <v>3</v>
      </c>
      <c r="E28" s="1127"/>
      <c r="F28" s="1127">
        <v>12</v>
      </c>
      <c r="G28" s="1127"/>
      <c r="H28" s="1127"/>
      <c r="I28" s="1023">
        <v>0.40799999999999997</v>
      </c>
      <c r="J28" s="1023"/>
      <c r="K28" s="1023">
        <v>0.70699999999999996</v>
      </c>
      <c r="L28" s="1023"/>
      <c r="M28" s="1023">
        <v>0.91300000000000003</v>
      </c>
      <c r="N28" s="1023"/>
      <c r="O28" s="1021" t="s">
        <v>158</v>
      </c>
      <c r="P28" s="1021"/>
      <c r="Q28" s="1021" t="s">
        <v>158</v>
      </c>
      <c r="R28" s="1021"/>
      <c r="U28" s="544"/>
      <c r="V28" s="544"/>
      <c r="W28" s="306"/>
      <c r="X28" s="307"/>
      <c r="Y28" s="307"/>
      <c r="Z28" s="308"/>
      <c r="AA28" s="308"/>
      <c r="AB28" s="270"/>
      <c r="AC28" s="309"/>
      <c r="AD28" s="309"/>
      <c r="AE28" s="310"/>
      <c r="AF28" s="311"/>
      <c r="AG28" s="311"/>
      <c r="AH28" s="311"/>
      <c r="AI28" s="311"/>
    </row>
    <row r="29" spans="1:44" s="287" customFormat="1" ht="15" customHeight="1">
      <c r="A29" s="1131" t="s">
        <v>173</v>
      </c>
      <c r="B29" s="1131"/>
      <c r="C29" s="1131"/>
      <c r="D29" s="1127">
        <v>4</v>
      </c>
      <c r="E29" s="1127"/>
      <c r="F29" s="1127">
        <v>16</v>
      </c>
      <c r="G29" s="1127"/>
      <c r="H29" s="1127"/>
      <c r="I29" s="1023">
        <v>0.35399999999999998</v>
      </c>
      <c r="J29" s="1023"/>
      <c r="K29" s="1023">
        <v>0.61199999999999999</v>
      </c>
      <c r="L29" s="1023"/>
      <c r="M29" s="1023">
        <v>0.79100000000000004</v>
      </c>
      <c r="N29" s="1023"/>
      <c r="O29" s="1023">
        <v>0.93500000000000005</v>
      </c>
      <c r="P29" s="1023"/>
      <c r="Q29" s="1021" t="s">
        <v>158</v>
      </c>
      <c r="R29" s="1021"/>
      <c r="U29" s="544"/>
      <c r="V29" s="544"/>
      <c r="W29" s="306"/>
      <c r="X29" s="307"/>
      <c r="Y29" s="307"/>
      <c r="Z29" s="307"/>
      <c r="AA29" s="270"/>
      <c r="AB29" s="270"/>
      <c r="AC29" s="270"/>
      <c r="AD29" s="306"/>
      <c r="AE29" s="310"/>
      <c r="AF29" s="310"/>
      <c r="AH29" s="310"/>
      <c r="AO29" s="304"/>
      <c r="AP29" s="304"/>
      <c r="AR29" s="305"/>
    </row>
    <row r="30" spans="1:44" s="287" customFormat="1" ht="15" customHeight="1" thickBot="1">
      <c r="A30" s="1128" t="s">
        <v>174</v>
      </c>
      <c r="B30" s="1128"/>
      <c r="C30" s="1128"/>
      <c r="D30" s="1126">
        <v>5</v>
      </c>
      <c r="E30" s="1126"/>
      <c r="F30" s="1126">
        <v>20</v>
      </c>
      <c r="G30" s="1126"/>
      <c r="H30" s="1126"/>
      <c r="I30" s="1024">
        <v>0.316</v>
      </c>
      <c r="J30" s="1024"/>
      <c r="K30" s="1024">
        <v>0.54800000000000004</v>
      </c>
      <c r="L30" s="1024"/>
      <c r="M30" s="1024">
        <v>0.70699999999999996</v>
      </c>
      <c r="N30" s="1024"/>
      <c r="O30" s="1024">
        <v>0.83699999999999997</v>
      </c>
      <c r="P30" s="1024"/>
      <c r="Q30" s="1024">
        <v>0.94899999999999995</v>
      </c>
      <c r="R30" s="1024"/>
      <c r="U30" s="544"/>
      <c r="V30" s="544"/>
      <c r="W30" s="300"/>
      <c r="X30" s="301"/>
      <c r="Y30" s="301"/>
      <c r="Z30" s="302"/>
      <c r="AA30" s="302"/>
      <c r="AB30" s="270"/>
      <c r="AC30" s="303"/>
      <c r="AD30" s="303"/>
      <c r="AE30" s="301"/>
      <c r="AF30" s="302"/>
      <c r="AG30" s="302"/>
      <c r="AH30" s="302"/>
      <c r="AI30" s="302"/>
      <c r="AO30" s="304"/>
      <c r="AP30" s="304"/>
      <c r="AR30" s="305"/>
    </row>
    <row r="31" spans="1:44" s="287" customFormat="1" ht="14.1" customHeight="1">
      <c r="A31" s="1120" t="s">
        <v>534</v>
      </c>
      <c r="B31" s="1121"/>
      <c r="C31" s="1122"/>
      <c r="D31" s="1132"/>
      <c r="E31" s="1132"/>
      <c r="F31" s="1018" t="s">
        <v>175</v>
      </c>
      <c r="G31" s="1018"/>
      <c r="H31" s="1018"/>
      <c r="I31" s="1018"/>
      <c r="J31" s="1018"/>
      <c r="K31" s="1154">
        <f>IF(D31&gt;0,ROUND(PI()*D31*D31/4,3),ROUND(D33*E33,3))</f>
        <v>0</v>
      </c>
      <c r="L31" s="1154"/>
      <c r="M31" s="1018" t="s">
        <v>176</v>
      </c>
      <c r="N31" s="1018"/>
      <c r="O31" s="1018"/>
      <c r="P31" s="1018"/>
      <c r="Q31" s="1162">
        <v>0</v>
      </c>
      <c r="R31" s="1163"/>
      <c r="S31" s="1017" t="s">
        <v>485</v>
      </c>
      <c r="T31" s="1018"/>
      <c r="U31" s="1015">
        <f>D31</f>
        <v>0</v>
      </c>
      <c r="V31" s="544"/>
      <c r="W31" s="306"/>
      <c r="X31" s="307"/>
      <c r="Y31" s="307"/>
      <c r="Z31" s="308"/>
      <c r="AA31" s="308"/>
      <c r="AB31" s="270"/>
      <c r="AC31" s="309"/>
      <c r="AD31" s="309"/>
      <c r="AE31" s="310"/>
      <c r="AF31" s="311"/>
      <c r="AG31" s="311"/>
      <c r="AH31" s="311"/>
      <c r="AI31" s="311"/>
      <c r="AO31" s="304"/>
      <c r="AP31" s="304"/>
      <c r="AR31" s="305"/>
    </row>
    <row r="32" spans="1:44" s="287" customFormat="1" ht="14.1" customHeight="1" thickBot="1">
      <c r="A32" s="1123"/>
      <c r="B32" s="1124"/>
      <c r="C32" s="1125"/>
      <c r="D32" s="1133"/>
      <c r="E32" s="1133"/>
      <c r="F32" s="1086"/>
      <c r="G32" s="1086"/>
      <c r="H32" s="1086"/>
      <c r="I32" s="1086"/>
      <c r="J32" s="1086"/>
      <c r="K32" s="1155"/>
      <c r="L32" s="1155"/>
      <c r="M32" s="1020"/>
      <c r="N32" s="1020"/>
      <c r="O32" s="1020"/>
      <c r="P32" s="1020"/>
      <c r="Q32" s="1164"/>
      <c r="R32" s="1165"/>
      <c r="S32" s="1019"/>
      <c r="T32" s="1020"/>
      <c r="U32" s="1016"/>
      <c r="V32" s="544"/>
      <c r="W32" s="288"/>
    </row>
    <row r="33" spans="1:60" s="287" customFormat="1" ht="27.75" customHeight="1" thickBot="1">
      <c r="A33" s="1077" t="s">
        <v>537</v>
      </c>
      <c r="B33" s="1078"/>
      <c r="C33" s="1079"/>
      <c r="D33" s="895"/>
      <c r="E33" s="898"/>
      <c r="F33" s="1099" t="s">
        <v>1262</v>
      </c>
      <c r="G33" s="1099"/>
      <c r="H33" s="1099"/>
      <c r="I33" s="1099"/>
      <c r="J33" s="897">
        <v>0</v>
      </c>
      <c r="K33" s="315"/>
      <c r="L33" s="315"/>
      <c r="M33" s="314"/>
      <c r="N33" s="314"/>
      <c r="O33" s="314"/>
      <c r="P33" s="314"/>
      <c r="Q33" s="314"/>
      <c r="R33" s="314"/>
      <c r="S33" s="314"/>
      <c r="T33" s="314"/>
      <c r="U33" s="316"/>
      <c r="V33" s="544"/>
      <c r="W33" s="288"/>
    </row>
    <row r="34" spans="1:60" s="287" customFormat="1" ht="6" customHeight="1">
      <c r="A34" s="271"/>
      <c r="M34" s="285"/>
      <c r="N34" s="285"/>
      <c r="U34" s="544"/>
      <c r="V34" s="544"/>
      <c r="W34" s="288"/>
    </row>
    <row r="35" spans="1:60" s="287" customFormat="1" ht="14.1" customHeight="1">
      <c r="A35" s="1088" t="s">
        <v>179</v>
      </c>
      <c r="B35" s="1089"/>
      <c r="C35" s="1089"/>
      <c r="D35" s="1089"/>
      <c r="E35" s="1089"/>
      <c r="F35" s="1089"/>
      <c r="G35" s="1089"/>
      <c r="H35" s="1089"/>
      <c r="I35" s="1089"/>
      <c r="J35" s="1089"/>
      <c r="K35" s="1089"/>
      <c r="L35" s="1090"/>
      <c r="M35" s="1066" t="s">
        <v>597</v>
      </c>
      <c r="N35" s="1096">
        <f>COUNT(D39:N44)</f>
        <v>1</v>
      </c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</row>
    <row r="36" spans="1:60" s="287" customFormat="1" ht="14.1" customHeight="1">
      <c r="A36" s="1091"/>
      <c r="B36" s="1092"/>
      <c r="C36" s="1092"/>
      <c r="D36" s="1092"/>
      <c r="E36" s="1092"/>
      <c r="F36" s="1092"/>
      <c r="G36" s="1092"/>
      <c r="H36" s="1092"/>
      <c r="I36" s="1092"/>
      <c r="J36" s="1092"/>
      <c r="K36" s="1092"/>
      <c r="L36" s="1093"/>
      <c r="M36" s="1069"/>
      <c r="N36" s="109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8"/>
      <c r="AF36" s="318"/>
      <c r="AG36" s="318"/>
      <c r="AH36" s="319"/>
      <c r="AI36" s="319"/>
      <c r="AJ36" s="319"/>
      <c r="AK36" s="319"/>
      <c r="AL36" s="319"/>
      <c r="AM36" s="319"/>
      <c r="AN36" s="319"/>
      <c r="AO36" s="319"/>
    </row>
    <row r="37" spans="1:60" s="287" customFormat="1" ht="14.1" customHeight="1">
      <c r="A37" s="1094" t="s">
        <v>159</v>
      </c>
      <c r="B37" s="1094"/>
      <c r="C37" s="1094"/>
      <c r="D37" s="1086" t="s">
        <v>169</v>
      </c>
      <c r="E37" s="1086"/>
      <c r="F37" s="1086" t="s">
        <v>160</v>
      </c>
      <c r="G37" s="1086"/>
      <c r="H37" s="1086"/>
      <c r="I37" s="1086" t="s">
        <v>161</v>
      </c>
      <c r="J37" s="1098"/>
      <c r="K37" s="1098" t="s">
        <v>162</v>
      </c>
      <c r="L37" s="1098"/>
      <c r="M37" s="1098" t="s">
        <v>163</v>
      </c>
      <c r="N37" s="1098"/>
      <c r="R37" s="320"/>
      <c r="S37" s="320"/>
      <c r="T37" s="320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</row>
    <row r="38" spans="1:60" s="287" customFormat="1" ht="14.1" customHeight="1" thickBot="1">
      <c r="A38" s="1095"/>
      <c r="B38" s="1095"/>
      <c r="C38" s="1095"/>
      <c r="D38" s="1087"/>
      <c r="E38" s="1087"/>
      <c r="F38" s="1087"/>
      <c r="G38" s="1087"/>
      <c r="H38" s="1087"/>
      <c r="I38" s="1087"/>
      <c r="J38" s="1087"/>
      <c r="K38" s="1087"/>
      <c r="L38" s="1087"/>
      <c r="M38" s="1087"/>
      <c r="N38" s="1087"/>
      <c r="R38" s="320"/>
      <c r="S38" s="320"/>
      <c r="T38" s="320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</row>
    <row r="39" spans="1:60" s="287" customFormat="1" ht="14.1" customHeight="1" thickTop="1">
      <c r="A39" s="1081" t="s">
        <v>535</v>
      </c>
      <c r="B39" s="1082"/>
      <c r="C39" s="1083"/>
      <c r="D39" s="1080">
        <f>IF(D31&gt;0.564,"",(D31/2)+Q31)</f>
        <v>0</v>
      </c>
      <c r="E39" s="1080"/>
      <c r="F39" s="984" t="s">
        <v>158</v>
      </c>
      <c r="G39" s="984"/>
      <c r="H39" s="984"/>
      <c r="I39" s="1084" t="s">
        <v>536</v>
      </c>
      <c r="J39" s="1085"/>
      <c r="K39" s="1084" t="s">
        <v>536</v>
      </c>
      <c r="L39" s="1085"/>
      <c r="M39" s="1084" t="s">
        <v>536</v>
      </c>
      <c r="N39" s="1085"/>
      <c r="R39" s="320"/>
      <c r="S39" s="320"/>
      <c r="T39" s="320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</row>
    <row r="40" spans="1:60" s="287" customFormat="1" ht="15" customHeight="1">
      <c r="A40" s="1131" t="s">
        <v>170</v>
      </c>
      <c r="B40" s="1131"/>
      <c r="C40" s="1131"/>
      <c r="D40" s="984" t="str">
        <f>IF(AND(U31&lt;=1,U31&gt;0.564),((D31/2-(D31/2)*I26)+Q31),"")</f>
        <v/>
      </c>
      <c r="E40" s="984"/>
      <c r="F40" s="984" t="s">
        <v>158</v>
      </c>
      <c r="G40" s="984"/>
      <c r="H40" s="984"/>
      <c r="I40" s="984" t="s">
        <v>158</v>
      </c>
      <c r="J40" s="984"/>
      <c r="K40" s="984" t="s">
        <v>158</v>
      </c>
      <c r="L40" s="984"/>
      <c r="M40" s="984" t="s">
        <v>158</v>
      </c>
      <c r="N40" s="984"/>
      <c r="R40" s="285"/>
      <c r="S40" s="285"/>
      <c r="T40" s="285"/>
      <c r="U40" s="321"/>
      <c r="V40" s="321"/>
      <c r="W40" s="321"/>
      <c r="X40" s="321"/>
      <c r="Y40" s="321"/>
      <c r="Z40" s="321"/>
      <c r="AA40" s="321"/>
      <c r="AB40" s="321"/>
      <c r="AC40" s="321"/>
      <c r="AD40" s="321"/>
      <c r="AK40" s="322"/>
      <c r="AL40" s="323"/>
      <c r="AM40" s="323"/>
      <c r="AN40" s="319"/>
      <c r="AO40" s="318"/>
    </row>
    <row r="41" spans="1:60" s="287" customFormat="1" ht="15" customHeight="1">
      <c r="A41" s="1131" t="s">
        <v>171</v>
      </c>
      <c r="B41" s="1131"/>
      <c r="C41" s="1131"/>
      <c r="D41" s="984" t="str">
        <f>IF(AND(U31&gt;1,U31&lt;=2),((D31/2-(D31/2)*I27)+Q31),"")</f>
        <v/>
      </c>
      <c r="E41" s="984"/>
      <c r="F41" s="984" t="str">
        <f>IF(AND(U31&gt;1,U31&lt;=2),((D31/2-(D31/2)*K27)+Q31),"")</f>
        <v/>
      </c>
      <c r="G41" s="984"/>
      <c r="H41" s="984"/>
      <c r="I41" s="984" t="s">
        <v>158</v>
      </c>
      <c r="J41" s="984"/>
      <c r="K41" s="984" t="s">
        <v>158</v>
      </c>
      <c r="L41" s="984"/>
      <c r="M41" s="984" t="s">
        <v>158</v>
      </c>
      <c r="N41" s="984"/>
      <c r="R41" s="285"/>
      <c r="S41" s="285"/>
      <c r="T41" s="285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K41" s="323"/>
      <c r="AL41" s="323"/>
      <c r="AM41" s="323"/>
      <c r="AN41" s="323"/>
      <c r="AO41" s="270"/>
    </row>
    <row r="42" spans="1:60" s="287" customFormat="1" ht="15" customHeight="1">
      <c r="A42" s="1131" t="s">
        <v>172</v>
      </c>
      <c r="B42" s="1131"/>
      <c r="C42" s="1131"/>
      <c r="D42" s="984" t="str">
        <f>IF(AND(U31&gt;2,U31&lt;=4),((D31/2-(D31/2)*I28)+Q31),"")</f>
        <v/>
      </c>
      <c r="E42" s="984"/>
      <c r="F42" s="984" t="str">
        <f>IF(AND(U31&gt;2,U31&lt;=4),((D31/2-(D31/2)*K28)+Q31),"")</f>
        <v/>
      </c>
      <c r="G42" s="984"/>
      <c r="H42" s="984"/>
      <c r="I42" s="984" t="str">
        <f>IF(AND(U31&gt;2,U31&lt;=4),((D31/2-(D31/2)*M28)+Q31),"")</f>
        <v/>
      </c>
      <c r="J42" s="984"/>
      <c r="K42" s="984" t="s">
        <v>158</v>
      </c>
      <c r="L42" s="984"/>
      <c r="M42" s="984" t="s">
        <v>158</v>
      </c>
      <c r="N42" s="984"/>
      <c r="R42" s="285"/>
      <c r="S42" s="285"/>
      <c r="T42" s="285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K42" s="323"/>
      <c r="AL42" s="323"/>
      <c r="AM42" s="323"/>
      <c r="AN42" s="323"/>
      <c r="AO42" s="270"/>
    </row>
    <row r="43" spans="1:60" s="287" customFormat="1" ht="15" customHeight="1">
      <c r="A43" s="1131" t="s">
        <v>173</v>
      </c>
      <c r="B43" s="1131"/>
      <c r="C43" s="1131"/>
      <c r="D43" s="984" t="str">
        <f>IF(AND(U31&gt;4,U31&lt;=4.5),(((D31/2)-(D31/2)*I29)+Q31),"")</f>
        <v/>
      </c>
      <c r="E43" s="984"/>
      <c r="F43" s="984" t="str">
        <f>IF(AND(U31&gt;4,U31&lt;=4.5),(((D31/2)-(D31/2)*K29)+Q31),"")</f>
        <v/>
      </c>
      <c r="G43" s="984"/>
      <c r="H43" s="984"/>
      <c r="I43" s="984" t="str">
        <f>IF(AND(U31&gt;4,U31&lt;=4.5),(((D31/2)-(D31/2)*M29)+Q31),"")</f>
        <v/>
      </c>
      <c r="J43" s="984"/>
      <c r="K43" s="984" t="str">
        <f>IF(AND(U31&gt;4,U31&lt;=4.5),(((D31/2)-(D31/2)*O29)+Q31),"")</f>
        <v/>
      </c>
      <c r="L43" s="984"/>
      <c r="M43" s="984" t="s">
        <v>158</v>
      </c>
      <c r="N43" s="984"/>
      <c r="R43" s="285"/>
      <c r="S43" s="285"/>
      <c r="T43" s="285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3"/>
      <c r="AF43" s="323"/>
      <c r="AG43" s="323"/>
      <c r="AK43" s="323"/>
      <c r="AL43" s="323"/>
      <c r="AM43" s="323"/>
      <c r="AO43" s="270"/>
    </row>
    <row r="44" spans="1:60" s="287" customFormat="1" ht="15" customHeight="1">
      <c r="A44" s="1131" t="s">
        <v>174</v>
      </c>
      <c r="B44" s="1131"/>
      <c r="C44" s="1131"/>
      <c r="D44" s="984" t="str">
        <f>IF(U31&lt;=4.5,"",(((D31/2)-(D31/2)*I30)+Q31))</f>
        <v/>
      </c>
      <c r="E44" s="984"/>
      <c r="F44" s="984" t="str">
        <f>IF(U31&lt;=4.5,"",(((D31/2)-(D31/2)*K30)+Q31))</f>
        <v/>
      </c>
      <c r="G44" s="984"/>
      <c r="H44" s="984"/>
      <c r="I44" s="984" t="str">
        <f>IF(U31&lt;=4.5,"",(((D31/2)-(D31/2)*M30)+Q31))</f>
        <v/>
      </c>
      <c r="J44" s="984"/>
      <c r="K44" s="984" t="str">
        <f>IF(U31&lt;=4.5,"",(((D31/2)-(D31/2)*O30)+Q31))</f>
        <v/>
      </c>
      <c r="L44" s="984"/>
      <c r="M44" s="984" t="str">
        <f>IF(U31&lt;=4.5,"",(((D31/2)-(D31/2)*Q30)+Q31))</f>
        <v/>
      </c>
      <c r="N44" s="984"/>
      <c r="R44" s="285"/>
      <c r="S44" s="285"/>
      <c r="T44" s="285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K44" s="324"/>
      <c r="AL44" s="323"/>
      <c r="AM44" s="323"/>
      <c r="AO44" s="323"/>
      <c r="AP44" s="323"/>
      <c r="AQ44" s="323"/>
      <c r="AR44" s="323"/>
      <c r="AS44" s="323"/>
      <c r="AT44" s="323"/>
      <c r="AU44" s="323"/>
      <c r="AV44" s="323"/>
      <c r="AW44" s="323"/>
      <c r="AX44" s="323"/>
      <c r="AY44" s="323"/>
      <c r="AZ44" s="323"/>
      <c r="BA44" s="323"/>
      <c r="BB44" s="323"/>
      <c r="BC44" s="323"/>
      <c r="BD44" s="323"/>
      <c r="BE44" s="323"/>
      <c r="BF44" s="323"/>
      <c r="BG44" s="323"/>
      <c r="BH44" s="323"/>
    </row>
    <row r="45" spans="1:60" s="287" customFormat="1" ht="6" customHeight="1">
      <c r="A45" s="271"/>
      <c r="M45" s="285"/>
      <c r="N45" s="285"/>
      <c r="U45" s="544"/>
      <c r="V45" s="544"/>
      <c r="W45" s="288"/>
      <c r="AK45" s="324"/>
      <c r="AL45" s="323"/>
      <c r="AM45" s="323"/>
      <c r="AO45" s="323"/>
      <c r="AP45" s="323"/>
      <c r="AQ45" s="323"/>
      <c r="AR45" s="323"/>
      <c r="AS45" s="323"/>
      <c r="AT45" s="323"/>
      <c r="AU45" s="323"/>
      <c r="AV45" s="323"/>
      <c r="AW45" s="323"/>
      <c r="AX45" s="323"/>
      <c r="AY45" s="323"/>
      <c r="AZ45" s="323"/>
      <c r="BA45" s="323"/>
      <c r="BB45" s="323"/>
      <c r="BC45" s="323"/>
      <c r="BD45" s="323"/>
      <c r="BE45" s="323"/>
      <c r="BF45" s="323"/>
      <c r="BG45" s="323"/>
      <c r="BH45" s="323"/>
    </row>
    <row r="46" spans="1:60" s="287" customFormat="1" ht="14.1" customHeight="1">
      <c r="A46" s="271" t="s">
        <v>177</v>
      </c>
      <c r="M46" s="285"/>
      <c r="N46" s="285"/>
      <c r="R46" s="320"/>
      <c r="S46" s="320"/>
      <c r="T46" s="320"/>
      <c r="U46" s="270"/>
      <c r="V46" s="270"/>
      <c r="AL46" s="323"/>
      <c r="AM46" s="323"/>
      <c r="AN46" s="270"/>
      <c r="AO46" s="323"/>
      <c r="AP46" s="323"/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</row>
    <row r="47" spans="1:60" ht="6" customHeight="1">
      <c r="M47" s="286"/>
      <c r="N47" s="286"/>
      <c r="R47" s="320"/>
      <c r="S47" s="320"/>
      <c r="T47" s="320"/>
      <c r="V47" s="270"/>
      <c r="W47" s="287"/>
      <c r="X47" s="287"/>
      <c r="Y47" s="287"/>
      <c r="Z47" s="287"/>
      <c r="AA47" s="287"/>
      <c r="AB47" s="287"/>
      <c r="AC47" s="287"/>
      <c r="AD47" s="287"/>
      <c r="AE47" s="287"/>
      <c r="AO47" s="323"/>
      <c r="AP47" s="323"/>
      <c r="AQ47" s="323"/>
      <c r="AR47" s="323"/>
      <c r="AS47" s="323"/>
      <c r="AT47" s="323"/>
      <c r="AU47" s="323"/>
      <c r="AV47" s="323"/>
      <c r="AW47" s="323"/>
      <c r="AX47" s="323"/>
      <c r="AY47" s="323"/>
      <c r="AZ47" s="323"/>
      <c r="BA47" s="323"/>
      <c r="BB47" s="323"/>
      <c r="BC47" s="323"/>
      <c r="BD47" s="323"/>
      <c r="BE47" s="323"/>
      <c r="BF47" s="323"/>
      <c r="BG47" s="323"/>
      <c r="BH47" s="323"/>
    </row>
    <row r="48" spans="1:60" ht="12.95" customHeight="1">
      <c r="A48" s="965" t="s">
        <v>1095</v>
      </c>
      <c r="B48" s="965"/>
      <c r="C48" s="965"/>
      <c r="D48" s="965"/>
      <c r="E48" s="965"/>
      <c r="F48" s="965"/>
      <c r="G48" s="543" t="s">
        <v>15</v>
      </c>
      <c r="H48" s="1151"/>
      <c r="I48" s="1152"/>
      <c r="J48" s="1152"/>
      <c r="K48" s="1152"/>
      <c r="L48" s="1153"/>
      <c r="M48" s="970" t="s">
        <v>116</v>
      </c>
      <c r="N48" s="970"/>
      <c r="R48" s="283"/>
      <c r="S48" s="283"/>
      <c r="T48" s="283"/>
      <c r="U48" s="323"/>
      <c r="V48" s="323"/>
      <c r="AO48" s="323"/>
      <c r="AP48" s="323"/>
      <c r="AQ48" s="323"/>
      <c r="AR48" s="323"/>
      <c r="AS48" s="323"/>
      <c r="AT48" s="323"/>
      <c r="AU48" s="323"/>
      <c r="AV48" s="323"/>
      <c r="AW48" s="323"/>
      <c r="AX48" s="323"/>
      <c r="AY48" s="323"/>
      <c r="AZ48" s="323"/>
      <c r="BA48" s="323"/>
      <c r="BB48" s="323"/>
      <c r="BC48" s="323"/>
      <c r="BD48" s="323"/>
      <c r="BE48" s="323"/>
      <c r="BF48" s="323"/>
      <c r="BG48" s="323"/>
      <c r="BH48" s="323"/>
    </row>
    <row r="49" spans="1:60" ht="12.95" customHeight="1">
      <c r="A49" s="965" t="s">
        <v>1096</v>
      </c>
      <c r="B49" s="965"/>
      <c r="C49" s="965"/>
      <c r="D49" s="965"/>
      <c r="E49" s="965"/>
      <c r="F49" s="965"/>
      <c r="G49" s="543" t="s">
        <v>15</v>
      </c>
      <c r="H49" s="1151"/>
      <c r="I49" s="1152"/>
      <c r="J49" s="1152"/>
      <c r="K49" s="1152"/>
      <c r="L49" s="1153"/>
      <c r="M49" s="970" t="s">
        <v>116</v>
      </c>
      <c r="N49" s="970"/>
      <c r="R49" s="281"/>
      <c r="S49" s="281"/>
      <c r="T49" s="281"/>
      <c r="U49" s="323"/>
      <c r="V49" s="323"/>
      <c r="AO49" s="323"/>
      <c r="AP49" s="323"/>
      <c r="AQ49" s="323"/>
      <c r="AR49" s="323"/>
      <c r="AS49" s="323"/>
      <c r="AT49" s="323"/>
      <c r="AU49" s="323"/>
      <c r="AV49" s="323"/>
      <c r="AW49" s="323"/>
      <c r="AX49" s="323"/>
      <c r="AY49" s="323"/>
      <c r="AZ49" s="323"/>
      <c r="BA49" s="323"/>
      <c r="BB49" s="323"/>
      <c r="BC49" s="323"/>
      <c r="BD49" s="323"/>
      <c r="BE49" s="323"/>
      <c r="BF49" s="323"/>
      <c r="BG49" s="323"/>
      <c r="BH49" s="323"/>
    </row>
    <row r="50" spans="1:60" ht="12.95" customHeight="1">
      <c r="A50" s="1140" t="s">
        <v>108</v>
      </c>
      <c r="B50" s="1141"/>
      <c r="C50" s="1141"/>
      <c r="D50" s="1141"/>
      <c r="E50" s="1141"/>
      <c r="F50" s="1142"/>
      <c r="G50" s="543" t="s">
        <v>15</v>
      </c>
      <c r="H50" s="1214">
        <f>H49-H48</f>
        <v>0</v>
      </c>
      <c r="I50" s="1215"/>
      <c r="J50" s="1215"/>
      <c r="K50" s="1215"/>
      <c r="L50" s="1216"/>
      <c r="M50" s="970" t="s">
        <v>116</v>
      </c>
      <c r="N50" s="970"/>
      <c r="R50" s="281"/>
      <c r="S50" s="281"/>
      <c r="T50" s="281"/>
      <c r="U50" s="323"/>
      <c r="V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323"/>
      <c r="BB50" s="323"/>
      <c r="BC50" s="323"/>
      <c r="BD50" s="323"/>
      <c r="BE50" s="323"/>
      <c r="BF50" s="323"/>
      <c r="BG50" s="323"/>
      <c r="BH50" s="323"/>
    </row>
    <row r="51" spans="1:60" ht="12.95" customHeight="1">
      <c r="A51" s="965" t="s">
        <v>109</v>
      </c>
      <c r="B51" s="965"/>
      <c r="C51" s="965"/>
      <c r="D51" s="965"/>
      <c r="E51" s="965"/>
      <c r="F51" s="965"/>
      <c r="G51" s="543" t="s">
        <v>15</v>
      </c>
      <c r="H51" s="996"/>
      <c r="I51" s="997"/>
      <c r="J51" s="997"/>
      <c r="K51" s="997"/>
      <c r="L51" s="998"/>
      <c r="M51" s="970" t="s">
        <v>39</v>
      </c>
      <c r="N51" s="970"/>
      <c r="R51" s="281"/>
      <c r="S51" s="281"/>
      <c r="T51" s="281"/>
      <c r="U51" s="323"/>
      <c r="V51" s="323"/>
      <c r="AO51" s="323"/>
      <c r="AP51" s="323"/>
      <c r="AQ51" s="323"/>
      <c r="AR51" s="323"/>
      <c r="AS51" s="323"/>
      <c r="AT51" s="323"/>
      <c r="AU51" s="323"/>
      <c r="AV51" s="323"/>
      <c r="AW51" s="323"/>
      <c r="AX51" s="323"/>
      <c r="AY51" s="323"/>
      <c r="AZ51" s="323"/>
      <c r="BA51" s="323"/>
      <c r="BB51" s="323"/>
      <c r="BC51" s="323"/>
      <c r="BD51" s="323"/>
      <c r="BE51" s="323"/>
      <c r="BF51" s="323"/>
      <c r="BG51" s="323"/>
      <c r="BH51" s="323"/>
    </row>
    <row r="52" spans="1:60" ht="12.95" customHeight="1">
      <c r="A52" s="965" t="s">
        <v>110</v>
      </c>
      <c r="B52" s="965"/>
      <c r="C52" s="965"/>
      <c r="D52" s="965"/>
      <c r="E52" s="965"/>
      <c r="F52" s="965"/>
      <c r="G52" s="543" t="s">
        <v>15</v>
      </c>
      <c r="H52" s="996"/>
      <c r="I52" s="997"/>
      <c r="J52" s="997"/>
      <c r="K52" s="997"/>
      <c r="L52" s="998"/>
      <c r="M52" s="970" t="s">
        <v>39</v>
      </c>
      <c r="N52" s="970"/>
      <c r="R52" s="281"/>
      <c r="S52" s="281"/>
      <c r="T52" s="281"/>
      <c r="U52" s="323"/>
      <c r="V52" s="323"/>
      <c r="AO52" s="323"/>
      <c r="AP52" s="323"/>
      <c r="AQ52" s="323"/>
      <c r="AR52" s="323"/>
      <c r="AS52" s="323"/>
      <c r="AT52" s="323"/>
      <c r="AU52" s="323"/>
      <c r="AV52" s="323"/>
      <c r="AW52" s="323"/>
      <c r="AX52" s="323"/>
      <c r="AY52" s="323"/>
      <c r="AZ52" s="323"/>
      <c r="BA52" s="323"/>
      <c r="BB52" s="323"/>
      <c r="BC52" s="323"/>
      <c r="BD52" s="323"/>
      <c r="BE52" s="323"/>
      <c r="BF52" s="323"/>
      <c r="BG52" s="323"/>
      <c r="BH52" s="323"/>
    </row>
    <row r="53" spans="1:60" ht="12.95" customHeight="1">
      <c r="A53" s="1102" t="s">
        <v>111</v>
      </c>
      <c r="B53" s="1102"/>
      <c r="C53" s="1102"/>
      <c r="D53" s="1102"/>
      <c r="E53" s="1102"/>
      <c r="F53" s="1102"/>
      <c r="G53" s="543" t="s">
        <v>15</v>
      </c>
      <c r="H53" s="1031">
        <f>(H51+H52)/2</f>
        <v>0</v>
      </c>
      <c r="I53" s="1032"/>
      <c r="J53" s="1032"/>
      <c r="K53" s="1032"/>
      <c r="L53" s="1033"/>
      <c r="M53" s="970" t="s">
        <v>39</v>
      </c>
      <c r="N53" s="970"/>
      <c r="U53" s="286"/>
      <c r="V53" s="546"/>
      <c r="AO53" s="323"/>
      <c r="AP53" s="323"/>
      <c r="AQ53" s="323"/>
      <c r="AR53" s="323"/>
      <c r="AS53" s="323"/>
      <c r="AT53" s="323"/>
      <c r="AU53" s="323"/>
      <c r="AV53" s="323"/>
      <c r="AW53" s="323"/>
      <c r="AX53" s="323"/>
      <c r="AY53" s="323"/>
      <c r="AZ53" s="323"/>
      <c r="BA53" s="323"/>
      <c r="BB53" s="323"/>
      <c r="BC53" s="323"/>
      <c r="BD53" s="323"/>
      <c r="BE53" s="323"/>
      <c r="BF53" s="323"/>
      <c r="BG53" s="323"/>
      <c r="BH53" s="323"/>
    </row>
    <row r="54" spans="1:60" ht="12.95" customHeight="1">
      <c r="A54" s="965" t="s">
        <v>545</v>
      </c>
      <c r="B54" s="965"/>
      <c r="C54" s="965"/>
      <c r="D54" s="965"/>
      <c r="E54" s="965"/>
      <c r="F54" s="965"/>
      <c r="G54" s="543" t="s">
        <v>15</v>
      </c>
      <c r="H54" s="1217"/>
      <c r="I54" s="1218"/>
      <c r="J54" s="1218"/>
      <c r="K54" s="1218"/>
      <c r="L54" s="1219"/>
      <c r="M54" s="1207" t="s">
        <v>546</v>
      </c>
      <c r="N54" s="1220"/>
      <c r="U54" s="286"/>
      <c r="V54" s="546"/>
      <c r="AO54" s="323"/>
      <c r="AP54" s="323"/>
      <c r="AQ54" s="323"/>
      <c r="AR54" s="323"/>
      <c r="AS54" s="323"/>
      <c r="AT54" s="323"/>
      <c r="AU54" s="323"/>
      <c r="AV54" s="323"/>
      <c r="AW54" s="323"/>
      <c r="AX54" s="323"/>
      <c r="AY54" s="323"/>
      <c r="AZ54" s="323"/>
      <c r="BA54" s="323"/>
      <c r="BB54" s="323"/>
      <c r="BC54" s="323"/>
      <c r="BD54" s="323"/>
      <c r="BE54" s="323"/>
      <c r="BF54" s="323"/>
      <c r="BG54" s="323"/>
      <c r="BH54" s="323"/>
    </row>
    <row r="55" spans="1:60" ht="12.95" customHeight="1">
      <c r="A55" s="965" t="s">
        <v>112</v>
      </c>
      <c r="B55" s="965"/>
      <c r="C55" s="965"/>
      <c r="D55" s="965"/>
      <c r="E55" s="965"/>
      <c r="F55" s="965"/>
      <c r="G55" s="543" t="s">
        <v>15</v>
      </c>
      <c r="H55" s="1031">
        <f>T55/25.4</f>
        <v>0.46456692913385833</v>
      </c>
      <c r="I55" s="1032"/>
      <c r="J55" s="1032"/>
      <c r="K55" s="1032"/>
      <c r="L55" s="1033"/>
      <c r="M55" s="1138" t="s">
        <v>480</v>
      </c>
      <c r="N55" s="1139"/>
      <c r="O55" s="991">
        <f>ROUND(H55*25.4/13.6,2)</f>
        <v>0.87</v>
      </c>
      <c r="P55" s="992"/>
      <c r="Q55" s="992"/>
      <c r="R55" s="1029" t="s">
        <v>38</v>
      </c>
      <c r="S55" s="1030"/>
      <c r="T55" s="325">
        <v>11.8</v>
      </c>
      <c r="U55" s="326" t="s">
        <v>40</v>
      </c>
      <c r="V55" s="546"/>
      <c r="AI55" s="327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</row>
    <row r="56" spans="1:60" ht="12.95" customHeight="1">
      <c r="A56" s="965" t="s">
        <v>113</v>
      </c>
      <c r="B56" s="965"/>
      <c r="C56" s="965"/>
      <c r="D56" s="965"/>
      <c r="E56" s="965"/>
      <c r="F56" s="965"/>
      <c r="G56" s="543" t="s">
        <v>15</v>
      </c>
      <c r="H56" s="1208"/>
      <c r="I56" s="1209"/>
      <c r="J56" s="1209"/>
      <c r="K56" s="1209"/>
      <c r="L56" s="1210"/>
      <c r="M56" s="970" t="s">
        <v>117</v>
      </c>
      <c r="N56" s="970"/>
      <c r="T56" s="270">
        <v>11.8</v>
      </c>
      <c r="U56" s="328">
        <v>0.87</v>
      </c>
      <c r="V56" s="546"/>
      <c r="W56" s="286"/>
      <c r="X56" s="329"/>
      <c r="Y56" s="329"/>
      <c r="Z56" s="329"/>
      <c r="AA56" s="286"/>
      <c r="AB56" s="286"/>
      <c r="AC56" s="546"/>
      <c r="AD56" s="546"/>
      <c r="AE56" s="546"/>
      <c r="AF56" s="546"/>
      <c r="AI56" s="286"/>
      <c r="AO56" s="323"/>
      <c r="AP56" s="323"/>
      <c r="AQ56" s="323"/>
      <c r="AR56" s="323"/>
      <c r="AS56" s="323"/>
      <c r="AT56" s="323"/>
      <c r="AU56" s="323"/>
      <c r="AV56" s="323"/>
      <c r="AW56" s="323"/>
      <c r="AX56" s="323"/>
      <c r="AY56" s="323"/>
      <c r="AZ56" s="323"/>
      <c r="BA56" s="323"/>
      <c r="BB56" s="323"/>
      <c r="BC56" s="323"/>
      <c r="BD56" s="323"/>
      <c r="BE56" s="323"/>
      <c r="BF56" s="323"/>
      <c r="BG56" s="323"/>
      <c r="BH56" s="323"/>
    </row>
    <row r="57" spans="1:60" ht="12.95" customHeight="1">
      <c r="A57" s="965" t="s">
        <v>114</v>
      </c>
      <c r="B57" s="965"/>
      <c r="C57" s="965"/>
      <c r="D57" s="965"/>
      <c r="E57" s="965"/>
      <c r="F57" s="965"/>
      <c r="G57" s="543" t="s">
        <v>15</v>
      </c>
      <c r="H57" s="1211"/>
      <c r="I57" s="1212"/>
      <c r="J57" s="1212"/>
      <c r="K57" s="1212"/>
      <c r="L57" s="1213"/>
      <c r="M57" s="970" t="s">
        <v>117</v>
      </c>
      <c r="N57" s="970"/>
      <c r="T57" s="270">
        <v>14</v>
      </c>
      <c r="U57" s="286">
        <v>1</v>
      </c>
      <c r="V57" s="546"/>
      <c r="W57" s="286"/>
      <c r="X57" s="329"/>
      <c r="Y57" s="329"/>
      <c r="Z57" s="329"/>
      <c r="AA57" s="286"/>
      <c r="AB57" s="286"/>
      <c r="AC57" s="546"/>
      <c r="AD57" s="546"/>
      <c r="AE57" s="546"/>
      <c r="AF57" s="546"/>
      <c r="AI57" s="286"/>
      <c r="AO57" s="323"/>
      <c r="AP57" s="323"/>
      <c r="AQ57" s="323"/>
      <c r="AR57" s="323"/>
      <c r="AS57" s="323"/>
      <c r="AT57" s="323"/>
      <c r="AU57" s="323"/>
      <c r="AV57" s="323"/>
      <c r="AW57" s="323"/>
      <c r="AX57" s="323"/>
      <c r="AY57" s="323"/>
      <c r="AZ57" s="323"/>
      <c r="BA57" s="323"/>
      <c r="BB57" s="323"/>
      <c r="BC57" s="323"/>
      <c r="BD57" s="323"/>
      <c r="BE57" s="323"/>
      <c r="BF57" s="323"/>
      <c r="BG57" s="323"/>
      <c r="BH57" s="323"/>
    </row>
    <row r="58" spans="1:60" ht="12.95" customHeight="1">
      <c r="A58" s="1140" t="s">
        <v>115</v>
      </c>
      <c r="B58" s="1141"/>
      <c r="C58" s="1141"/>
      <c r="D58" s="1141"/>
      <c r="E58" s="1141"/>
      <c r="F58" s="1142"/>
      <c r="G58" s="543" t="s">
        <v>15</v>
      </c>
      <c r="H58" s="1144">
        <f>H57-H56</f>
        <v>0</v>
      </c>
      <c r="I58" s="1145"/>
      <c r="J58" s="1145"/>
      <c r="K58" s="1145"/>
      <c r="L58" s="1146"/>
      <c r="M58" s="970" t="s">
        <v>117</v>
      </c>
      <c r="N58" s="970"/>
      <c r="U58" s="286"/>
      <c r="V58" s="330"/>
      <c r="W58" s="331"/>
      <c r="X58" s="331"/>
      <c r="Y58" s="331"/>
      <c r="Z58" s="331"/>
      <c r="AA58" s="331"/>
      <c r="AB58" s="331"/>
      <c r="AC58" s="327"/>
      <c r="AD58" s="327"/>
      <c r="AE58" s="327"/>
      <c r="AF58" s="327"/>
      <c r="AI58" s="331"/>
      <c r="AO58" s="323"/>
      <c r="AP58" s="323"/>
      <c r="AQ58" s="323"/>
      <c r="AR58" s="323"/>
      <c r="AS58" s="323"/>
      <c r="AT58" s="323"/>
      <c r="AU58" s="323"/>
      <c r="AV58" s="323"/>
      <c r="AW58" s="323"/>
      <c r="AX58" s="323"/>
      <c r="AY58" s="323"/>
      <c r="AZ58" s="323"/>
      <c r="BA58" s="323"/>
      <c r="BB58" s="323"/>
      <c r="BC58" s="323"/>
      <c r="BD58" s="323"/>
      <c r="BE58" s="323"/>
      <c r="BF58" s="323"/>
      <c r="BG58" s="323"/>
      <c r="BH58" s="323"/>
    </row>
    <row r="59" spans="1:60" ht="12.95" customHeight="1">
      <c r="A59" s="1102" t="s">
        <v>5</v>
      </c>
      <c r="B59" s="1102"/>
      <c r="C59" s="1102"/>
      <c r="D59" s="1102"/>
      <c r="E59" s="1102"/>
      <c r="F59" s="1102"/>
      <c r="G59" s="543" t="s">
        <v>15</v>
      </c>
      <c r="H59" s="1189" t="e">
        <f>IF(Q60=1,Q59,ROUND((((22.4/18)*H50)/((H58*(273/(273+H53))*((H20+O55)/760))+((22.4/18)*H50)))*100,2))</f>
        <v>#DIV/0!</v>
      </c>
      <c r="I59" s="1190"/>
      <c r="J59" s="1190"/>
      <c r="K59" s="1190"/>
      <c r="L59" s="1191"/>
      <c r="M59" s="970" t="s">
        <v>41</v>
      </c>
      <c r="N59" s="1207"/>
      <c r="O59" s="993" t="s">
        <v>541</v>
      </c>
      <c r="P59" s="993"/>
      <c r="Q59" s="1022" t="e">
        <f>ROUND(('포화수증기압 표 '!E4/('먼지측정 사전 Data'!H20+'먼지측정 사전 Data'!U71))*100,2)</f>
        <v>#DIV/0!</v>
      </c>
      <c r="R59" s="1022"/>
      <c r="S59" s="270" t="s">
        <v>41</v>
      </c>
      <c r="U59" s="332"/>
      <c r="V59" s="333"/>
      <c r="W59" s="332"/>
      <c r="X59" s="332"/>
      <c r="Y59" s="334"/>
      <c r="Z59" s="332"/>
      <c r="AA59" s="332"/>
      <c r="AB59" s="285"/>
      <c r="AC59" s="285"/>
      <c r="AD59" s="285"/>
      <c r="AE59" s="285"/>
      <c r="AF59" s="285"/>
      <c r="AQ59" s="335"/>
      <c r="AS59" s="335"/>
      <c r="AU59" s="335"/>
      <c r="AW59" s="335"/>
      <c r="AY59" s="335"/>
    </row>
    <row r="60" spans="1:60" s="287" customFormat="1">
      <c r="A60" s="271"/>
      <c r="O60" s="994" t="s">
        <v>542</v>
      </c>
      <c r="P60" s="994"/>
      <c r="Q60" s="995">
        <v>0</v>
      </c>
      <c r="R60" s="995"/>
      <c r="U60" s="332"/>
      <c r="V60" s="333"/>
      <c r="W60" s="332"/>
      <c r="X60" s="332"/>
      <c r="Y60" s="334"/>
      <c r="Z60" s="332"/>
      <c r="AA60" s="332"/>
      <c r="AB60" s="285"/>
      <c r="AC60" s="285"/>
      <c r="AD60" s="285"/>
      <c r="AE60" s="285"/>
      <c r="AF60" s="285"/>
      <c r="AQ60" s="336"/>
      <c r="AS60" s="336"/>
      <c r="AU60" s="336"/>
      <c r="AW60" s="336"/>
      <c r="AY60" s="336"/>
    </row>
    <row r="61" spans="1:60" s="287" customFormat="1" ht="14.1" customHeight="1">
      <c r="A61" s="271" t="s">
        <v>178</v>
      </c>
      <c r="U61" s="337"/>
      <c r="V61" s="338"/>
      <c r="W61" s="337"/>
      <c r="X61" s="337"/>
      <c r="Y61" s="339"/>
      <c r="Z61" s="337"/>
      <c r="AA61" s="337"/>
      <c r="AB61" s="314"/>
      <c r="AC61" s="314"/>
      <c r="AD61" s="314"/>
      <c r="AE61" s="314"/>
      <c r="AF61" s="314"/>
      <c r="AQ61" s="336"/>
      <c r="AS61" s="336"/>
      <c r="AU61" s="336"/>
      <c r="AW61" s="336"/>
      <c r="AY61" s="336"/>
    </row>
    <row r="62" spans="1:60" ht="6" customHeight="1">
      <c r="AQ62" s="335"/>
      <c r="AS62" s="335"/>
      <c r="AU62" s="335"/>
      <c r="AW62" s="335"/>
      <c r="AY62" s="335"/>
    </row>
    <row r="63" spans="1:60" ht="12.95" customHeight="1">
      <c r="A63" s="965" t="s">
        <v>603</v>
      </c>
      <c r="B63" s="965"/>
      <c r="C63" s="965"/>
      <c r="D63" s="965"/>
      <c r="E63" s="965"/>
      <c r="F63" s="965"/>
      <c r="G63" s="543" t="s">
        <v>15</v>
      </c>
      <c r="H63" s="1157"/>
      <c r="I63" s="1157"/>
      <c r="J63" s="1157"/>
      <c r="K63" s="1157"/>
      <c r="L63" s="1157"/>
      <c r="M63" s="970" t="s">
        <v>40</v>
      </c>
      <c r="N63" s="970"/>
      <c r="O63" s="340" t="s">
        <v>726</v>
      </c>
      <c r="U63" s="287"/>
      <c r="V63" s="287"/>
      <c r="W63" s="287"/>
      <c r="X63" s="287"/>
      <c r="Y63" s="287"/>
      <c r="Z63" s="286"/>
      <c r="AQ63" s="335"/>
      <c r="AS63" s="335"/>
      <c r="AU63" s="335"/>
      <c r="AW63" s="335"/>
      <c r="AZ63" s="335"/>
    </row>
    <row r="64" spans="1:60" ht="12.95" customHeight="1">
      <c r="A64" s="965" t="s">
        <v>604</v>
      </c>
      <c r="B64" s="965"/>
      <c r="C64" s="965"/>
      <c r="D64" s="965"/>
      <c r="E64" s="965"/>
      <c r="F64" s="965"/>
      <c r="G64" s="543" t="s">
        <v>15</v>
      </c>
      <c r="H64" s="1147"/>
      <c r="I64" s="1147"/>
      <c r="J64" s="1147"/>
      <c r="K64" s="1147"/>
      <c r="L64" s="1147"/>
      <c r="M64" s="1143" t="s">
        <v>158</v>
      </c>
      <c r="N64" s="1143"/>
      <c r="U64" s="287"/>
      <c r="V64" s="287"/>
      <c r="W64" s="287"/>
      <c r="X64" s="287"/>
      <c r="Y64" s="287"/>
    </row>
    <row r="65" spans="1:40" ht="12.95" customHeight="1">
      <c r="A65" s="965" t="s">
        <v>602</v>
      </c>
      <c r="B65" s="965"/>
      <c r="C65" s="965"/>
      <c r="D65" s="965"/>
      <c r="E65" s="965"/>
      <c r="F65" s="965"/>
      <c r="G65" s="543" t="s">
        <v>15</v>
      </c>
      <c r="H65" s="1196"/>
      <c r="I65" s="1196"/>
      <c r="J65" s="1196"/>
      <c r="K65" s="1196"/>
      <c r="L65" s="1196"/>
      <c r="M65" s="1143" t="s">
        <v>158</v>
      </c>
      <c r="N65" s="1143"/>
      <c r="T65" s="286"/>
      <c r="U65" s="546"/>
      <c r="V65" s="341"/>
      <c r="W65" s="286"/>
      <c r="X65" s="286"/>
      <c r="Y65" s="286"/>
      <c r="Z65" s="286"/>
    </row>
    <row r="66" spans="1:40" ht="13.5" customHeight="1" thickBot="1">
      <c r="U66" s="342"/>
      <c r="V66" s="546"/>
      <c r="W66" s="546"/>
      <c r="X66" s="546"/>
      <c r="Y66" s="546"/>
      <c r="Z66" s="546"/>
    </row>
    <row r="67" spans="1:40" ht="14.1" customHeight="1">
      <c r="A67" s="1197" t="s">
        <v>47</v>
      </c>
      <c r="B67" s="1001"/>
      <c r="C67" s="1001"/>
      <c r="D67" s="1001"/>
      <c r="E67" s="1001"/>
      <c r="F67" s="1001"/>
      <c r="G67" s="1192" t="s">
        <v>46</v>
      </c>
      <c r="H67" s="1005" t="s">
        <v>49</v>
      </c>
      <c r="I67" s="1005"/>
      <c r="J67" s="1005" t="s">
        <v>50</v>
      </c>
      <c r="K67" s="1005"/>
      <c r="L67" s="1005" t="s">
        <v>51</v>
      </c>
      <c r="M67" s="1005"/>
      <c r="N67" s="1005" t="s">
        <v>52</v>
      </c>
      <c r="O67" s="1005"/>
      <c r="P67" s="1005" t="s">
        <v>53</v>
      </c>
      <c r="Q67" s="1005"/>
      <c r="R67" s="1001" t="s">
        <v>48</v>
      </c>
      <c r="S67" s="1002"/>
      <c r="U67" s="286"/>
      <c r="V67" s="343"/>
      <c r="W67" s="343"/>
      <c r="X67" s="343"/>
      <c r="Y67" s="343"/>
      <c r="Z67" s="343"/>
    </row>
    <row r="68" spans="1:40" ht="14.1" customHeight="1">
      <c r="A68" s="1198"/>
      <c r="B68" s="1003"/>
      <c r="C68" s="1003"/>
      <c r="D68" s="1003"/>
      <c r="E68" s="1003"/>
      <c r="F68" s="1003"/>
      <c r="G68" s="1193"/>
      <c r="H68" s="1006"/>
      <c r="I68" s="1006"/>
      <c r="J68" s="1006"/>
      <c r="K68" s="1006"/>
      <c r="L68" s="1006"/>
      <c r="M68" s="1006"/>
      <c r="N68" s="1006"/>
      <c r="O68" s="1006"/>
      <c r="P68" s="1006"/>
      <c r="Q68" s="1006"/>
      <c r="R68" s="1003"/>
      <c r="S68" s="1004"/>
      <c r="U68" s="286"/>
      <c r="V68" s="343"/>
      <c r="W68" s="343"/>
      <c r="X68" s="343"/>
      <c r="Y68" s="343"/>
      <c r="Z68" s="343"/>
      <c r="AB68" s="544"/>
    </row>
    <row r="69" spans="1:40" ht="12.95" customHeight="1">
      <c r="A69" s="1188" t="s">
        <v>447</v>
      </c>
      <c r="B69" s="965"/>
      <c r="C69" s="965"/>
      <c r="D69" s="965"/>
      <c r="E69" s="965"/>
      <c r="F69" s="965"/>
      <c r="G69" s="543" t="s">
        <v>15</v>
      </c>
      <c r="H69" s="980"/>
      <c r="I69" s="980"/>
      <c r="J69" s="980"/>
      <c r="K69" s="980"/>
      <c r="L69" s="980"/>
      <c r="M69" s="980"/>
      <c r="N69" s="980"/>
      <c r="O69" s="980"/>
      <c r="P69" s="980"/>
      <c r="Q69" s="980"/>
      <c r="R69" s="999" t="e">
        <f>ROUND(AVERAGEIF(H69:P69,"&lt;&gt;0"),1)</f>
        <v>#DIV/0!</v>
      </c>
      <c r="S69" s="1000"/>
      <c r="U69" s="286"/>
      <c r="V69" s="343"/>
      <c r="W69" s="343"/>
      <c r="X69" s="343"/>
      <c r="Y69" s="343"/>
      <c r="Z69" s="343"/>
    </row>
    <row r="70" spans="1:40" ht="12.95" customHeight="1">
      <c r="A70" s="1188" t="s">
        <v>118</v>
      </c>
      <c r="B70" s="965"/>
      <c r="C70" s="965"/>
      <c r="D70" s="965"/>
      <c r="E70" s="965"/>
      <c r="F70" s="965"/>
      <c r="G70" s="543" t="s">
        <v>15</v>
      </c>
      <c r="H70" s="1156"/>
      <c r="I70" s="1156"/>
      <c r="J70" s="980"/>
      <c r="K70" s="980"/>
      <c r="L70" s="980"/>
      <c r="M70" s="980"/>
      <c r="N70" s="980"/>
      <c r="O70" s="980"/>
      <c r="P70" s="980"/>
      <c r="Q70" s="980"/>
      <c r="R70" s="999" t="e">
        <f>ROUND(AVERAGEIF(H70:P70,"&lt;&gt;0"),1)</f>
        <v>#DIV/0!</v>
      </c>
      <c r="S70" s="1000"/>
      <c r="U70" s="965" t="s">
        <v>182</v>
      </c>
      <c r="V70" s="965"/>
      <c r="W70" s="1036"/>
      <c r="X70" s="1036"/>
      <c r="Y70" s="1036"/>
      <c r="Z70" s="1036"/>
      <c r="AA70" s="1036"/>
      <c r="AB70" s="1036"/>
      <c r="AC70" s="1036"/>
      <c r="AD70" s="1034"/>
      <c r="AE70" s="1034"/>
      <c r="AF70" s="1034"/>
      <c r="AG70" s="1034"/>
      <c r="AH70" s="1034"/>
      <c r="AI70" s="1034"/>
      <c r="AJ70" s="1034"/>
      <c r="AK70" s="1034"/>
      <c r="AM70" s="1034"/>
      <c r="AN70" s="1034"/>
    </row>
    <row r="71" spans="1:40" ht="12.95" customHeight="1">
      <c r="A71" s="1188" t="s">
        <v>119</v>
      </c>
      <c r="B71" s="965"/>
      <c r="C71" s="965"/>
      <c r="D71" s="965"/>
      <c r="E71" s="965"/>
      <c r="F71" s="965"/>
      <c r="G71" s="543" t="s">
        <v>15</v>
      </c>
      <c r="H71" s="1156"/>
      <c r="I71" s="1156"/>
      <c r="J71" s="980"/>
      <c r="K71" s="980"/>
      <c r="L71" s="980"/>
      <c r="M71" s="980"/>
      <c r="N71" s="980"/>
      <c r="O71" s="980"/>
      <c r="P71" s="980"/>
      <c r="Q71" s="980"/>
      <c r="R71" s="999" t="e">
        <f>ROUND(AVERAGEIF(H71:P71,"&lt;&gt;0"),1)</f>
        <v>#DIV/0!</v>
      </c>
      <c r="S71" s="1000"/>
      <c r="U71" s="567" t="e">
        <f>ROUND(R71/13.6,2)</f>
        <v>#DIV/0!</v>
      </c>
      <c r="V71" s="344" t="s">
        <v>38</v>
      </c>
      <c r="W71" s="1037"/>
      <c r="X71" s="1037"/>
      <c r="Y71" s="1037"/>
      <c r="Z71" s="1037"/>
      <c r="AA71" s="1037"/>
      <c r="AB71" s="1037"/>
      <c r="AC71" s="1037"/>
      <c r="AD71" s="1034"/>
      <c r="AE71" s="1034"/>
      <c r="AF71" s="1034"/>
      <c r="AG71" s="1035"/>
      <c r="AH71" s="1035"/>
      <c r="AI71" s="1035"/>
      <c r="AJ71" s="1035"/>
      <c r="AK71" s="1035"/>
      <c r="AM71" s="1035"/>
      <c r="AN71" s="1035"/>
    </row>
    <row r="72" spans="1:40" ht="12.95" customHeight="1">
      <c r="A72" s="1188" t="s">
        <v>448</v>
      </c>
      <c r="B72" s="965"/>
      <c r="C72" s="965"/>
      <c r="D72" s="965"/>
      <c r="E72" s="965"/>
      <c r="F72" s="965"/>
      <c r="G72" s="543" t="s">
        <v>15</v>
      </c>
      <c r="H72" s="1194"/>
      <c r="I72" s="1195"/>
      <c r="J72" s="980"/>
      <c r="K72" s="980"/>
      <c r="L72" s="980"/>
      <c r="M72" s="980"/>
      <c r="N72" s="980"/>
      <c r="O72" s="980"/>
      <c r="P72" s="980"/>
      <c r="Q72" s="980"/>
      <c r="R72" s="999" t="e">
        <f t="shared" ref="R72:R73" si="0">ROUND(AVERAGEIF(H72:P72,"&lt;&gt;0"),1)</f>
        <v>#DIV/0!</v>
      </c>
      <c r="S72" s="1000"/>
      <c r="X72" s="345"/>
    </row>
    <row r="73" spans="1:40" ht="12.95" customHeight="1">
      <c r="A73" s="1188" t="s">
        <v>449</v>
      </c>
      <c r="B73" s="965"/>
      <c r="C73" s="965"/>
      <c r="D73" s="965"/>
      <c r="E73" s="965"/>
      <c r="F73" s="965"/>
      <c r="G73" s="543" t="s">
        <v>15</v>
      </c>
      <c r="H73" s="1194"/>
      <c r="I73" s="1195"/>
      <c r="J73" s="980"/>
      <c r="K73" s="980"/>
      <c r="L73" s="980"/>
      <c r="M73" s="980"/>
      <c r="N73" s="980"/>
      <c r="O73" s="980"/>
      <c r="P73" s="980"/>
      <c r="Q73" s="980"/>
      <c r="R73" s="999" t="e">
        <f t="shared" si="0"/>
        <v>#DIV/0!</v>
      </c>
      <c r="S73" s="1000"/>
    </row>
    <row r="74" spans="1:40" ht="12.95" customHeight="1">
      <c r="A74" s="1188" t="s">
        <v>450</v>
      </c>
      <c r="B74" s="965"/>
      <c r="C74" s="965"/>
      <c r="D74" s="965"/>
      <c r="E74" s="965"/>
      <c r="F74" s="965"/>
      <c r="G74" s="543" t="s">
        <v>15</v>
      </c>
      <c r="H74" s="1025">
        <f>ROUND(((H72+H73)/2),1)</f>
        <v>0</v>
      </c>
      <c r="I74" s="1026"/>
      <c r="J74" s="1025" t="str">
        <f>IF($N$35&gt;1,ROUND(((J72+J73)/2),1),"")</f>
        <v/>
      </c>
      <c r="K74" s="1026"/>
      <c r="L74" s="1025" t="str">
        <f>IF($N$35&gt;2,ROUND(((L72+L73)/2),1),"")</f>
        <v/>
      </c>
      <c r="M74" s="1026"/>
      <c r="N74" s="1025" t="str">
        <f>IF($N$35&gt;3,ROUND(((N72+N73)/2),1),"")</f>
        <v/>
      </c>
      <c r="O74" s="1026"/>
      <c r="P74" s="1025" t="str">
        <f>IF($N$35&gt;4,ROUND(((P72+P73)/2),1),"")</f>
        <v/>
      </c>
      <c r="Q74" s="1026"/>
      <c r="R74" s="1043" t="e">
        <f>ROUND(AVERAGEIF(H74:Q74,"&lt;&gt;0"),1)</f>
        <v>#DIV/0!</v>
      </c>
      <c r="S74" s="1044"/>
      <c r="W74" s="286"/>
      <c r="X74" s="546"/>
      <c r="Y74" s="341"/>
    </row>
    <row r="75" spans="1:40" ht="12.95" customHeight="1">
      <c r="A75" s="1188" t="s">
        <v>120</v>
      </c>
      <c r="B75" s="965"/>
      <c r="C75" s="965"/>
      <c r="D75" s="965"/>
      <c r="E75" s="965"/>
      <c r="F75" s="965"/>
      <c r="G75" s="543" t="s">
        <v>15</v>
      </c>
      <c r="H75" s="980"/>
      <c r="I75" s="980"/>
      <c r="J75" s="980"/>
      <c r="K75" s="980"/>
      <c r="L75" s="980"/>
      <c r="M75" s="980"/>
      <c r="N75" s="980"/>
      <c r="O75" s="980"/>
      <c r="P75" s="980"/>
      <c r="Q75" s="980"/>
      <c r="R75" s="999">
        <f>SUM(H75:P75)</f>
        <v>0</v>
      </c>
      <c r="S75" s="1000"/>
      <c r="V75" s="270"/>
      <c r="W75" s="270"/>
      <c r="X75" s="987"/>
      <c r="Y75" s="987"/>
      <c r="Z75" s="987"/>
      <c r="AA75" s="987"/>
      <c r="AB75" s="987"/>
      <c r="AC75" s="987"/>
      <c r="AD75" s="987"/>
      <c r="AE75" s="987"/>
      <c r="AF75" s="987"/>
      <c r="AI75" s="544"/>
      <c r="AM75" s="544"/>
    </row>
    <row r="76" spans="1:40" ht="12.95" customHeight="1">
      <c r="A76" s="1188" t="s">
        <v>451</v>
      </c>
      <c r="B76" s="965"/>
      <c r="C76" s="965"/>
      <c r="D76" s="965"/>
      <c r="E76" s="965"/>
      <c r="F76" s="965"/>
      <c r="G76" s="543" t="s">
        <v>15</v>
      </c>
      <c r="H76" s="1076">
        <f>0.4/(COUNT(J70:Q70)+1)</f>
        <v>0.4</v>
      </c>
      <c r="I76" s="1076"/>
      <c r="J76" s="976" t="str">
        <f>IF($N$35&gt;1,$H$76,"")</f>
        <v/>
      </c>
      <c r="K76" s="976"/>
      <c r="L76" s="976" t="str">
        <f>IF($N$35&gt;2,$H$76,"")</f>
        <v/>
      </c>
      <c r="M76" s="976"/>
      <c r="N76" s="976" t="str">
        <f>IF($N$35&gt;3,$H$76,"")</f>
        <v/>
      </c>
      <c r="O76" s="976"/>
      <c r="P76" s="976" t="str">
        <f>IF($N$35&gt;4,$H$76,"")</f>
        <v/>
      </c>
      <c r="Q76" s="976"/>
      <c r="R76" s="1041">
        <f>SUM(H76:P76)</f>
        <v>0.4</v>
      </c>
      <c r="S76" s="1042"/>
      <c r="V76" s="270"/>
      <c r="W76" s="270"/>
      <c r="X76" s="1039"/>
      <c r="Y76" s="1039"/>
      <c r="Z76" s="1039"/>
      <c r="AA76" s="1040"/>
      <c r="AB76" s="1040"/>
      <c r="AC76" s="1040"/>
      <c r="AD76" s="1038"/>
      <c r="AE76" s="1038"/>
      <c r="AF76" s="1038"/>
      <c r="AI76" s="346"/>
      <c r="AM76" s="347"/>
    </row>
    <row r="77" spans="1:40" ht="12.95" customHeight="1">
      <c r="A77" s="1188" t="s">
        <v>452</v>
      </c>
      <c r="B77" s="965"/>
      <c r="C77" s="965"/>
      <c r="D77" s="965"/>
      <c r="E77" s="965"/>
      <c r="F77" s="965"/>
      <c r="G77" s="543" t="s">
        <v>15</v>
      </c>
      <c r="H77" s="977" t="e">
        <f>ROUND(((100*(760+(H71/13.6))*H75*H82*((H84/2)^2*3.14)*(273+H74)/(16670*(273+H69)))-(0.00346*H83*(273+H74)))/(H20+(H86/13.6)),5)</f>
        <v>#DIV/0!</v>
      </c>
      <c r="I77" s="977"/>
      <c r="J77" s="977" t="str">
        <f>IF($N$35&gt;1,ROUND(((100*(760+(J71/13.6))*J75*J82*((J84/2)^2*3.14)*(273+J74)/(16670*(273+J69)))-(0.00346*J83*(273+J74)))/(H20+(J86/13.6)),5),"")</f>
        <v/>
      </c>
      <c r="K77" s="977"/>
      <c r="L77" s="977" t="str">
        <f>IF($N$35&gt;2,ROUND(((100*(760+(L71/13.6))*L75*L82*((L84/2)^2*3.14)*(273+L74)/(16670*(273+L69)))-(0.00346*L83*(273+L74)))/(H20+(L86/13.6)),5),"")</f>
        <v/>
      </c>
      <c r="M77" s="977"/>
      <c r="N77" s="977" t="str">
        <f>IF($N$35&gt;3,ROUND(((100*(760+(N71/13.6))*N75*N82*((N84/2)^2*3.14)*(273+N74)/(16670*(273+N69)))-(0.00346*N83*(273+N74)))/(H20+(N86/13.6)),5),"")</f>
        <v/>
      </c>
      <c r="O77" s="977"/>
      <c r="P77" s="977" t="str">
        <f>IF($N$35&gt;4,ROUND(((100*(760+(P71/13.6))*P75*P82*((P84/2)^2*3.14)*(273+P74)/(16670*(273+P69)))-(0.00346*P83*(273+P74)))/(H20+(P86/13.6)),5),"")</f>
        <v/>
      </c>
      <c r="Q77" s="977"/>
      <c r="R77" s="1041" t="e">
        <f>SUM(H77:P77)</f>
        <v>#DIV/0!</v>
      </c>
      <c r="S77" s="1042"/>
      <c r="T77" s="1007" t="s">
        <v>558</v>
      </c>
      <c r="U77" s="965"/>
      <c r="V77" s="988"/>
      <c r="W77" s="988"/>
      <c r="X77" s="1039"/>
      <c r="Y77" s="1039"/>
      <c r="Z77" s="1039"/>
      <c r="AA77" s="1040"/>
      <c r="AB77" s="1040"/>
      <c r="AC77" s="1040"/>
      <c r="AD77" s="1038"/>
      <c r="AE77" s="1038"/>
      <c r="AF77" s="1038"/>
      <c r="AI77" s="346"/>
      <c r="AM77" s="347"/>
    </row>
    <row r="78" spans="1:40" ht="12.95" customHeight="1">
      <c r="A78" s="1199" t="s">
        <v>600</v>
      </c>
      <c r="B78" s="1112"/>
      <c r="C78" s="1112"/>
      <c r="D78" s="1112"/>
      <c r="E78" s="1112"/>
      <c r="F78" s="1007"/>
      <c r="G78" s="543" t="s">
        <v>15</v>
      </c>
      <c r="H78" s="982"/>
      <c r="I78" s="983"/>
      <c r="J78" s="982"/>
      <c r="K78" s="983"/>
      <c r="L78" s="982"/>
      <c r="M78" s="983"/>
      <c r="N78" s="982"/>
      <c r="O78" s="983"/>
      <c r="P78" s="982"/>
      <c r="Q78" s="983"/>
      <c r="R78" s="989">
        <f>SUM(H78:Q78)</f>
        <v>0</v>
      </c>
      <c r="S78" s="990"/>
      <c r="T78" s="348" t="s">
        <v>542</v>
      </c>
      <c r="U78" s="349">
        <v>0</v>
      </c>
      <c r="V78" s="987"/>
      <c r="W78" s="987"/>
      <c r="X78" s="350"/>
      <c r="Y78" s="346"/>
      <c r="Z78" s="347"/>
    </row>
    <row r="79" spans="1:40" ht="12.95" customHeight="1">
      <c r="A79" s="1199" t="s">
        <v>599</v>
      </c>
      <c r="B79" s="1112"/>
      <c r="C79" s="1112"/>
      <c r="D79" s="1112"/>
      <c r="E79" s="1112"/>
      <c r="F79" s="1007"/>
      <c r="G79" s="543" t="s">
        <v>15</v>
      </c>
      <c r="H79" s="982"/>
      <c r="I79" s="983"/>
      <c r="J79" s="982"/>
      <c r="K79" s="983"/>
      <c r="L79" s="982"/>
      <c r="M79" s="983"/>
      <c r="N79" s="982"/>
      <c r="O79" s="983"/>
      <c r="P79" s="982"/>
      <c r="Q79" s="983"/>
      <c r="R79" s="989">
        <f>SUM(H79:Q79)</f>
        <v>0</v>
      </c>
      <c r="S79" s="990"/>
      <c r="V79" s="988"/>
      <c r="W79" s="988"/>
      <c r="X79" s="350"/>
      <c r="Y79" s="346"/>
      <c r="Z79" s="347"/>
    </row>
    <row r="80" spans="1:40" ht="14.25" customHeight="1">
      <c r="A80" s="1200" t="s">
        <v>453</v>
      </c>
      <c r="B80" s="1102"/>
      <c r="C80" s="1102"/>
      <c r="D80" s="1102"/>
      <c r="E80" s="1102"/>
      <c r="F80" s="1102"/>
      <c r="G80" s="543" t="s">
        <v>15</v>
      </c>
      <c r="H80" s="978">
        <f>IF(U78=1,ROUND((H79-H78)*0.02832,5),ROUND((H79-H78),5))</f>
        <v>0</v>
      </c>
      <c r="I80" s="979"/>
      <c r="J80" s="978" t="str">
        <f>IF($N$35&gt;1,IF(U78=1,ROUND((J79-J78)*0.02832,5),ROUND((J79-J78),5)),"")</f>
        <v/>
      </c>
      <c r="K80" s="979"/>
      <c r="L80" s="978" t="str">
        <f>IF($N$35&gt;2,IF(U78=1,ROUND((L79-L78)*0.02832,5),ROUND((L79-L78),5)),"")</f>
        <v/>
      </c>
      <c r="M80" s="979"/>
      <c r="N80" s="978" t="str">
        <f>IF($N$35&gt;3,IF(U78=1,ROUND((N79-N78)*0.02832,5),ROUND((N79-N78),5)),"")</f>
        <v/>
      </c>
      <c r="O80" s="979"/>
      <c r="P80" s="978" t="str">
        <f>IF($N$35&gt;4,IF(U78=1,ROUND((P79-P78)*0.02832,5),ROUND((P79-P78),5)),"")</f>
        <v/>
      </c>
      <c r="Q80" s="979"/>
      <c r="R80" s="989">
        <f>SUM(H80:Q80)</f>
        <v>0</v>
      </c>
      <c r="S80" s="990"/>
      <c r="U80" s="550" t="s">
        <v>598</v>
      </c>
      <c r="V80" s="351"/>
      <c r="W80" s="285"/>
      <c r="X80" s="285"/>
      <c r="Y80" s="285"/>
      <c r="Z80" s="285"/>
    </row>
    <row r="81" spans="1:26" ht="12.95" customHeight="1">
      <c r="A81" s="1199" t="s">
        <v>454</v>
      </c>
      <c r="B81" s="1112"/>
      <c r="C81" s="1112"/>
      <c r="D81" s="1112"/>
      <c r="E81" s="1112"/>
      <c r="F81" s="1007"/>
      <c r="G81" s="543" t="s">
        <v>15</v>
      </c>
      <c r="H81" s="984" t="e">
        <f>ROUND(R17*(273/(273+H69))*(H20+ROUND(H71/13.6,2))/760,3)</f>
        <v>#DIV/0!</v>
      </c>
      <c r="I81" s="984"/>
      <c r="J81" s="984" t="str">
        <f>IFERROR(ROUND($R$17*(273/(273+J69))*($H$20+ROUND(J71/13.6,2))/760,3),"")</f>
        <v/>
      </c>
      <c r="K81" s="984"/>
      <c r="L81" s="984" t="str">
        <f>IFERROR(ROUND($R$17*(273/(273+L69))*($H$20+ROUND(L71/13.6,2))/760,3),"")</f>
        <v/>
      </c>
      <c r="M81" s="984"/>
      <c r="N81" s="984" t="str">
        <f>IFERROR(ROUND($R$17*(273/(273+N69))*($H$20+ROUND(N71/13.6,2))/760,3),"")</f>
        <v/>
      </c>
      <c r="O81" s="984"/>
      <c r="P81" s="984" t="str">
        <f>IFERROR(ROUND($R$17*(273/(273+P69))*($H$20+ROUND(P71/13.6,2))/760,3),"")</f>
        <v/>
      </c>
      <c r="Q81" s="984"/>
      <c r="R81" s="1027" t="e">
        <f>ROUND(R17*(273/(273+R69))*(H20+U71)/760,3)</f>
        <v>#DIV/0!</v>
      </c>
      <c r="S81" s="1028"/>
      <c r="T81" s="1010" t="s">
        <v>717</v>
      </c>
      <c r="U81" s="1008" t="e">
        <f>L94</f>
        <v>#DIV/0!</v>
      </c>
      <c r="V81" s="987"/>
      <c r="W81" s="987"/>
      <c r="X81" s="350"/>
      <c r="Y81" s="346"/>
      <c r="Z81" s="347"/>
    </row>
    <row r="82" spans="1:26" ht="12.95" customHeight="1">
      <c r="A82" s="1199" t="s">
        <v>121</v>
      </c>
      <c r="B82" s="1112"/>
      <c r="C82" s="1112"/>
      <c r="D82" s="1112"/>
      <c r="E82" s="1112"/>
      <c r="F82" s="1007"/>
      <c r="G82" s="543" t="s">
        <v>15</v>
      </c>
      <c r="H82" s="981" t="e">
        <f>ROUND(H65*SQRT(2*9.81*H70/H81),3)</f>
        <v>#DIV/0!</v>
      </c>
      <c r="I82" s="981"/>
      <c r="J82" s="981" t="str">
        <f>IFERROR(ROUND($H65*SQRT(2*9.81*J70/J81),3),"")</f>
        <v/>
      </c>
      <c r="K82" s="981"/>
      <c r="L82" s="981" t="str">
        <f>IFERROR(ROUND($H65*SQRT(2*9.81*L70/L81),3),"")</f>
        <v/>
      </c>
      <c r="M82" s="981"/>
      <c r="N82" s="981" t="str">
        <f>IFERROR(ROUND($H65*SQRT(2*9.81*N70/N81),3),"")</f>
        <v/>
      </c>
      <c r="O82" s="981"/>
      <c r="P82" s="981" t="str">
        <f>IFERROR(ROUND($H65*SQRT(2*9.81*P70/P81),3),"")</f>
        <v/>
      </c>
      <c r="Q82" s="981"/>
      <c r="R82" s="1073" t="e">
        <f>ROUND(H65*SQRT((2*9.81*R70)/R81),3)</f>
        <v>#DIV/0!</v>
      </c>
      <c r="S82" s="1074"/>
      <c r="T82" s="1011"/>
      <c r="U82" s="1009"/>
    </row>
    <row r="83" spans="1:26" ht="12.95" customHeight="1">
      <c r="A83" s="1199" t="s">
        <v>122</v>
      </c>
      <c r="B83" s="1112"/>
      <c r="C83" s="1112"/>
      <c r="D83" s="1112"/>
      <c r="E83" s="1112"/>
      <c r="F83" s="1007"/>
      <c r="G83" s="543" t="s">
        <v>15</v>
      </c>
      <c r="H83" s="1045" t="e">
        <f>ROUND((H80*1000)*(H59/(100-H59))*(18/22.4),2)</f>
        <v>#DIV/0!</v>
      </c>
      <c r="I83" s="1045"/>
      <c r="J83" s="1045" t="str">
        <f>IFERROR(ROUND((J80*1000)*($H59/(100-$H59))*(18/22.4),2),"")</f>
        <v/>
      </c>
      <c r="K83" s="1045"/>
      <c r="L83" s="1045" t="str">
        <f>IFERROR(ROUND((L80*1000)*($H59/(100-$H59))*(18/22.4),2),"")</f>
        <v/>
      </c>
      <c r="M83" s="1045"/>
      <c r="N83" s="1045" t="str">
        <f>IFERROR(ROUND((N80*1000)*($H59/(100-$H59))*(18/22.4),2),"")</f>
        <v/>
      </c>
      <c r="O83" s="1045"/>
      <c r="P83" s="1045" t="str">
        <f>IFERROR(ROUND((P80*1000)*($H59/(100-$H59))*(18/22.4),2),"")</f>
        <v/>
      </c>
      <c r="Q83" s="1045"/>
      <c r="R83" s="1055" t="e">
        <f>ROUND((R80*1000)*(H59/(100-H59))*(18/22.4),2)</f>
        <v>#DIV/0!</v>
      </c>
      <c r="S83" s="1056"/>
      <c r="T83" s="1012"/>
      <c r="U83" s="985" t="s">
        <v>458</v>
      </c>
      <c r="V83" s="986"/>
    </row>
    <row r="84" spans="1:26" ht="12.95" customHeight="1">
      <c r="A84" s="1200" t="s">
        <v>123</v>
      </c>
      <c r="B84" s="1102"/>
      <c r="C84" s="1102"/>
      <c r="D84" s="1102"/>
      <c r="E84" s="1102"/>
      <c r="F84" s="1102"/>
      <c r="G84" s="543" t="s">
        <v>15</v>
      </c>
      <c r="H84" s="1075"/>
      <c r="I84" s="1075"/>
      <c r="J84" s="1046"/>
      <c r="K84" s="1046"/>
      <c r="L84" s="1046"/>
      <c r="M84" s="1046"/>
      <c r="N84" s="1046"/>
      <c r="O84" s="1046"/>
      <c r="P84" s="1046"/>
      <c r="Q84" s="1046"/>
      <c r="R84" s="999" t="e">
        <f t="shared" ref="R84:R89" si="1">AVERAGEIF(H84:P84,"&lt;&gt;0")</f>
        <v>#DIV/0!</v>
      </c>
      <c r="S84" s="1000"/>
      <c r="T84" s="352" t="s">
        <v>1271</v>
      </c>
      <c r="U84" s="1013" t="e">
        <f>ROUND((3.14*(R84/2)^2),3)</f>
        <v>#DIV/0!</v>
      </c>
      <c r="V84" s="1013"/>
    </row>
    <row r="85" spans="1:26" ht="12.95" customHeight="1">
      <c r="A85" s="1200" t="s">
        <v>88</v>
      </c>
      <c r="B85" s="1102"/>
      <c r="C85" s="1102"/>
      <c r="D85" s="1102"/>
      <c r="E85" s="1102"/>
      <c r="F85" s="1102"/>
      <c r="G85" s="543" t="s">
        <v>15</v>
      </c>
      <c r="H85" s="1054" t="e">
        <f>ROUND('Nozzle,K Factor'!J30*H65^2*H63*((273+H74)/(273+H69))*(H20+(H71/13.6))/H20*('Nozzle,K Factor'!J28/'Nozzle,K Factor'!J29)*(1-'Nozzle,K Factor'!J37)^2*(H84*10)^4,2)</f>
        <v>#DIV/0!</v>
      </c>
      <c r="I85" s="1054"/>
      <c r="J85" s="1054" t="str">
        <f>IFERROR(ROUND('Nozzle,K Factor'!$J30*$H65^2*$H63*((273+J74)/(273+J69))*($H20+(J71/13.6))/$H20*('Nozzle,K Factor'!$J28/'Nozzle,K Factor'!$J29)*(1-'Nozzle,K Factor'!$J37)^2*(J84*10)^4,2),"")</f>
        <v/>
      </c>
      <c r="K85" s="1054"/>
      <c r="L85" s="1054" t="str">
        <f>IFERROR(ROUND('Nozzle,K Factor'!$J30*$H65^2*$H63*((273+L74)/(273+L69))*($H20+(L71/13.6))/$H20*('Nozzle,K Factor'!$J28/'Nozzle,K Factor'!$J29)*(1-'Nozzle,K Factor'!$J37)^2*(L84*10)^4,2),"")</f>
        <v/>
      </c>
      <c r="M85" s="1054"/>
      <c r="N85" s="1054" t="str">
        <f>IFERROR(ROUND('Nozzle,K Factor'!$J30*$H65^2*$H63*((273+N74)/(273+N69))*($H20+(N71/13.6))/$H20*('Nozzle,K Factor'!$J28/'Nozzle,K Factor'!$J29)*(1-'Nozzle,K Factor'!$J37)^2*(N84*10)^4,2),"")</f>
        <v/>
      </c>
      <c r="O85" s="1054"/>
      <c r="P85" s="1054" t="str">
        <f>IFERROR(ROUND('Nozzle,K Factor'!$J30*$H65^2*$H63*((273+P74)/(273+P69))*($H20+(P71/13.6))/$H20*('Nozzle,K Factor'!$J28/'Nozzle,K Factor'!$J29)*(1-'Nozzle,K Factor'!$J37)^2*(P84*10)^4,2),"")</f>
        <v/>
      </c>
      <c r="Q85" s="1054"/>
      <c r="R85" s="1055" t="e">
        <f>ROUND(AVERAGEIF(H85:P85,"&lt;&gt;0"),2)</f>
        <v>#DIV/0!</v>
      </c>
      <c r="S85" s="1056"/>
      <c r="T85" s="353"/>
      <c r="U85" s="965" t="s">
        <v>427</v>
      </c>
      <c r="V85" s="965"/>
      <c r="W85" s="543" t="s">
        <v>477</v>
      </c>
    </row>
    <row r="86" spans="1:26" ht="12.95" customHeight="1">
      <c r="A86" s="1200" t="s">
        <v>124</v>
      </c>
      <c r="B86" s="1102"/>
      <c r="C86" s="1102"/>
      <c r="D86" s="1102"/>
      <c r="E86" s="1102"/>
      <c r="F86" s="1102"/>
      <c r="G86" s="543" t="s">
        <v>15</v>
      </c>
      <c r="H86" s="1054" t="e">
        <f>ROUND(H70*H85,2)</f>
        <v>#DIV/0!</v>
      </c>
      <c r="I86" s="1054"/>
      <c r="J86" s="1054" t="str">
        <f>IFERROR(ROUND(J70*J85,2),"")</f>
        <v/>
      </c>
      <c r="K86" s="1054"/>
      <c r="L86" s="1054" t="str">
        <f>IFERROR(ROUND(L70*L85,2),"")</f>
        <v/>
      </c>
      <c r="M86" s="1054"/>
      <c r="N86" s="1054" t="str">
        <f>IFERROR(ROUND(N70*N85,2),"")</f>
        <v/>
      </c>
      <c r="O86" s="1054"/>
      <c r="P86" s="1054" t="str">
        <f>IFERROR(ROUND(P70*P85,2),"")</f>
        <v/>
      </c>
      <c r="Q86" s="1054"/>
      <c r="R86" s="1055" t="e">
        <f>ROUND(AVERAGEIF(H86:P86,"&lt;&gt;0"),2)</f>
        <v>#DIV/0!</v>
      </c>
      <c r="S86" s="1056"/>
      <c r="T86" s="354"/>
      <c r="U86" s="974" t="e">
        <f>ROUND(R86/13.6,2)</f>
        <v>#DIV/0!</v>
      </c>
      <c r="V86" s="974"/>
      <c r="W86" s="566" t="e">
        <f>ROUND(R86/25.4,2)</f>
        <v>#DIV/0!</v>
      </c>
    </row>
    <row r="87" spans="1:26" ht="12.95" customHeight="1">
      <c r="A87" s="1200" t="s">
        <v>125</v>
      </c>
      <c r="B87" s="1102"/>
      <c r="C87" s="1102"/>
      <c r="D87" s="1102"/>
      <c r="E87" s="1102"/>
      <c r="F87" s="1102"/>
      <c r="G87" s="543" t="s">
        <v>15</v>
      </c>
      <c r="H87" s="1201" t="e">
        <f>ROUND(((273+H69)*(0.00346*H83+H80/(273+H74)*(H20+H86/13.6)))/((H20+ROUND(H71/13.6,2))*H75*H82*ROUND(3.14*(H84/2)^2,3))*1.667*10^4,1)</f>
        <v>#DIV/0!</v>
      </c>
      <c r="I87" s="1201"/>
      <c r="J87" s="1201" t="str">
        <f>IFERROR(ROUND(((273+J69)*(0.00346*J83+J80/(273+J74)*($H20+J86/13.6)))/((H20+ROUND(J71/13.6,2))*J75*J82*ROUND(3.14*(J84/2)^2,3))*1.667*10^4,1),"")</f>
        <v/>
      </c>
      <c r="K87" s="1201"/>
      <c r="L87" s="1201" t="str">
        <f>IFERROR(ROUND(((273+L69)*(0.00346*L83+L80/(273+L74)*($H20+L86/13.6)))/((H20+ROUND(L71/13.6,2))*L75*L82*ROUND(3.14*(L84/2)^2,3))*1.667*10^4,1),"")</f>
        <v/>
      </c>
      <c r="M87" s="1201"/>
      <c r="N87" s="1201" t="str">
        <f>IFERROR(ROUND(((273+N69)*(0.00346*N83+N80/(273+N74)*($H20+N86/13.6)))/((H20+ROUND(N71/13.6,2))*N75*N82*ROUND(3.14*(N84/2)^2,3))*1.667*10^4,1),"")</f>
        <v/>
      </c>
      <c r="O87" s="1201"/>
      <c r="P87" s="1201" t="str">
        <f>IFERROR(ROUND(((273+P69)*(0.00346*P83+P80/(273+P74)*($H20+P86/13.6)))/((H20+ROUND(P71/13.6,2))*P75*P82*ROUND(3.14*(P84/2)^2,3))*1.667*10^4,1),"")</f>
        <v/>
      </c>
      <c r="Q87" s="1201"/>
      <c r="R87" s="1060" t="e">
        <f>ROUND((273+R69)*(0.00346*R83+R80/(273+R74)*(H20+R86/13.6))/((H20+U71)*R75*R82*U84)*1.667*10^4,1)</f>
        <v>#DIV/0!</v>
      </c>
      <c r="S87" s="1061"/>
      <c r="U87" s="975" t="s">
        <v>476</v>
      </c>
      <c r="V87" s="975"/>
      <c r="W87" s="975"/>
    </row>
    <row r="88" spans="1:26" ht="12.95" customHeight="1">
      <c r="A88" s="1188" t="s">
        <v>522</v>
      </c>
      <c r="B88" s="965"/>
      <c r="C88" s="965"/>
      <c r="D88" s="965"/>
      <c r="E88" s="965"/>
      <c r="F88" s="965"/>
      <c r="G88" s="543" t="s">
        <v>15</v>
      </c>
      <c r="H88" s="980"/>
      <c r="I88" s="980"/>
      <c r="J88" s="980"/>
      <c r="K88" s="980"/>
      <c r="L88" s="980"/>
      <c r="M88" s="980"/>
      <c r="N88" s="980"/>
      <c r="O88" s="980"/>
      <c r="P88" s="980"/>
      <c r="Q88" s="980"/>
      <c r="R88" s="1048" t="e">
        <f t="shared" si="1"/>
        <v>#DIV/0!</v>
      </c>
      <c r="S88" s="1049"/>
      <c r="U88" s="564" t="e">
        <f>W88*25.4</f>
        <v>#DIV/0!</v>
      </c>
      <c r="V88" s="543" t="s">
        <v>38</v>
      </c>
      <c r="W88" s="565" t="e">
        <f>VLOOKUP(W86,U90:V96,2,TRUE)</f>
        <v>#DIV/0!</v>
      </c>
      <c r="X88" s="543" t="s">
        <v>544</v>
      </c>
    </row>
    <row r="89" spans="1:26" ht="12.95" customHeight="1">
      <c r="A89" s="1188" t="s">
        <v>455</v>
      </c>
      <c r="B89" s="965"/>
      <c r="C89" s="965"/>
      <c r="D89" s="965"/>
      <c r="E89" s="965"/>
      <c r="F89" s="965"/>
      <c r="G89" s="543" t="s">
        <v>15</v>
      </c>
      <c r="H89" s="1050"/>
      <c r="I89" s="1050"/>
      <c r="J89" s="1050"/>
      <c r="K89" s="1050"/>
      <c r="L89" s="1050"/>
      <c r="M89" s="1050"/>
      <c r="N89" s="1050"/>
      <c r="O89" s="1050"/>
      <c r="P89" s="1050"/>
      <c r="Q89" s="1050"/>
      <c r="R89" s="1060" t="e">
        <f t="shared" si="1"/>
        <v>#DIV/0!</v>
      </c>
      <c r="S89" s="1061"/>
    </row>
    <row r="90" spans="1:26" ht="15" customHeight="1" thickBot="1">
      <c r="A90" s="1203" t="s">
        <v>181</v>
      </c>
      <c r="B90" s="1099"/>
      <c r="C90" s="1099"/>
      <c r="D90" s="1099"/>
      <c r="E90" s="1099"/>
      <c r="F90" s="1099"/>
      <c r="G90" s="552" t="s">
        <v>15</v>
      </c>
      <c r="H90" s="1057" t="e">
        <f>ROUND(K31*R82*273/(273+R69)*(H20+U71)/760*(1-(H59/100))*3600,1)</f>
        <v>#DIV/0!</v>
      </c>
      <c r="I90" s="1058"/>
      <c r="J90" s="1058"/>
      <c r="K90" s="1058"/>
      <c r="L90" s="1058"/>
      <c r="M90" s="1058"/>
      <c r="N90" s="1058"/>
      <c r="O90" s="1058"/>
      <c r="P90" s="1058"/>
      <c r="Q90" s="1058"/>
      <c r="R90" s="1058"/>
      <c r="S90" s="1059"/>
      <c r="U90" s="355">
        <v>0.35</v>
      </c>
      <c r="V90" s="356">
        <v>2</v>
      </c>
      <c r="W90" s="357">
        <v>50.8</v>
      </c>
    </row>
    <row r="91" spans="1:26" ht="14.1" customHeight="1">
      <c r="H91" s="988"/>
      <c r="I91" s="988"/>
      <c r="J91" s="335"/>
      <c r="K91" s="335"/>
      <c r="L91" s="335"/>
      <c r="M91" s="335"/>
      <c r="N91" s="1053" t="s">
        <v>719</v>
      </c>
      <c r="O91" s="1053"/>
      <c r="P91" s="1053"/>
      <c r="Q91" s="1053"/>
      <c r="R91" s="1051" t="e">
        <f>(R77*1000)/R75</f>
        <v>#DIV/0!</v>
      </c>
      <c r="S91" s="1052"/>
      <c r="U91" s="355">
        <v>0.36</v>
      </c>
      <c r="V91" s="355">
        <v>2.5</v>
      </c>
      <c r="W91" s="357">
        <v>63.5</v>
      </c>
    </row>
    <row r="92" spans="1:26" ht="14.1" customHeight="1"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358">
        <v>0.5</v>
      </c>
      <c r="V92" s="356">
        <v>3</v>
      </c>
      <c r="W92" s="357">
        <v>76.2</v>
      </c>
    </row>
    <row r="93" spans="1:26" ht="14.1" customHeight="1">
      <c r="A93" s="285"/>
      <c r="B93" s="285"/>
      <c r="C93" s="965" t="s">
        <v>423</v>
      </c>
      <c r="D93" s="965"/>
      <c r="E93" s="965"/>
      <c r="F93" s="965"/>
      <c r="G93" s="965"/>
      <c r="H93" s="965"/>
      <c r="I93" s="965"/>
      <c r="J93" s="965" t="s">
        <v>479</v>
      </c>
      <c r="K93" s="965"/>
      <c r="L93" s="965" t="s">
        <v>424</v>
      </c>
      <c r="M93" s="965"/>
      <c r="N93" s="1158" t="s">
        <v>718</v>
      </c>
      <c r="O93" s="1158"/>
      <c r="P93" s="1158"/>
      <c r="Q93" s="1158"/>
      <c r="R93" s="1158"/>
      <c r="S93" s="546"/>
      <c r="T93" s="331">
        <f>0.85*(1-0.024)</f>
        <v>0.8296</v>
      </c>
      <c r="U93" s="355">
        <v>0.75</v>
      </c>
      <c r="V93" s="355">
        <v>3.5</v>
      </c>
      <c r="W93" s="357">
        <v>88.9</v>
      </c>
    </row>
    <row r="94" spans="1:26" ht="14.1" customHeight="1">
      <c r="A94" s="965" t="s">
        <v>887</v>
      </c>
      <c r="B94" s="965"/>
      <c r="C94" s="965" t="s">
        <v>425</v>
      </c>
      <c r="D94" s="965"/>
      <c r="E94" s="965" t="s">
        <v>426</v>
      </c>
      <c r="F94" s="965"/>
      <c r="G94" s="965"/>
      <c r="H94" s="965" t="s">
        <v>888</v>
      </c>
      <c r="I94" s="965"/>
      <c r="J94" s="974" t="str">
        <f>IF(C95="","",ROUND((H99*1000)/(R80*273/(273+R74)*(H20+U86)/760),1))</f>
        <v/>
      </c>
      <c r="K94" s="974"/>
      <c r="L94" s="1013" t="e">
        <f>R80*273/(273+R74)*(H20+U86)/760</f>
        <v>#DIV/0!</v>
      </c>
      <c r="M94" s="1013"/>
      <c r="N94" s="1158" t="s">
        <v>356</v>
      </c>
      <c r="O94" s="1158"/>
      <c r="P94" s="1158"/>
      <c r="Q94" s="1158"/>
      <c r="R94" s="1158"/>
      <c r="S94" s="1158"/>
      <c r="T94" s="331">
        <f>0.85*(1-0.036)</f>
        <v>0.81939999999999991</v>
      </c>
      <c r="U94" s="359">
        <v>1</v>
      </c>
      <c r="V94" s="360">
        <v>4</v>
      </c>
      <c r="W94" s="357">
        <v>101.6</v>
      </c>
    </row>
    <row r="95" spans="1:26" ht="14.1" customHeight="1">
      <c r="A95" s="1204" t="str">
        <f>'한종_시료채취기록지 '!AA2</f>
        <v>2-30</v>
      </c>
      <c r="B95" s="980"/>
      <c r="C95" s="1206" t="str">
        <f>IF('한종_시료채취기록지 '!AC2=0,"",'한종_시료채취기록지 '!AC2)</f>
        <v/>
      </c>
      <c r="D95" s="980"/>
      <c r="E95" s="1202" t="str">
        <f>IF('한종_시료채취기록지 '!AE2=0,"",'한종_시료채취기록지 '!AE2)</f>
        <v/>
      </c>
      <c r="F95" s="980"/>
      <c r="G95" s="980"/>
      <c r="H95" s="1205" t="e">
        <f>E95-C95</f>
        <v>#VALUE!</v>
      </c>
      <c r="I95" s="1205"/>
      <c r="J95" s="974"/>
      <c r="K95" s="974"/>
      <c r="L95" s="1013"/>
      <c r="M95" s="1013"/>
      <c r="N95" s="1158" t="s">
        <v>357</v>
      </c>
      <c r="O95" s="1158"/>
      <c r="P95" s="1158"/>
      <c r="Q95" s="1158"/>
      <c r="R95" s="1158"/>
      <c r="S95" s="1158"/>
      <c r="T95" s="364"/>
      <c r="U95" s="357">
        <v>1.25</v>
      </c>
      <c r="V95" s="357">
        <v>4.5</v>
      </c>
      <c r="W95" s="357">
        <v>114.3</v>
      </c>
    </row>
    <row r="96" spans="1:26" ht="14.1" customHeight="1">
      <c r="A96" s="965" t="s">
        <v>886</v>
      </c>
      <c r="B96" s="965"/>
      <c r="C96" s="965" t="s">
        <v>425</v>
      </c>
      <c r="D96" s="965"/>
      <c r="E96" s="965" t="s">
        <v>426</v>
      </c>
      <c r="F96" s="965"/>
      <c r="G96" s="965"/>
      <c r="H96" s="965" t="s">
        <v>889</v>
      </c>
      <c r="I96" s="965"/>
      <c r="J96" s="965" t="s">
        <v>478</v>
      </c>
      <c r="K96" s="965"/>
      <c r="N96" s="286"/>
      <c r="O96" s="361"/>
      <c r="P96" s="361"/>
      <c r="Q96" s="286"/>
      <c r="R96" s="286"/>
      <c r="S96" s="286"/>
      <c r="U96" s="362">
        <v>1.5</v>
      </c>
      <c r="V96" s="363">
        <v>5</v>
      </c>
      <c r="W96" s="363">
        <v>127</v>
      </c>
    </row>
    <row r="97" spans="1:23" ht="14.1" customHeight="1">
      <c r="A97" s="1204" t="str">
        <f>'한종_시료채취기록지 '!AA4</f>
        <v>2-31</v>
      </c>
      <c r="B97" s="980"/>
      <c r="C97" s="1206" t="str">
        <f>IF('한종_시료채취기록지 '!AC4=0,"",'한종_시료채취기록지 '!AC4)</f>
        <v/>
      </c>
      <c r="D97" s="980"/>
      <c r="E97" s="1202" t="str">
        <f>IF('한종_시료채취기록지 '!AE4=0,"",'한종_시료채취기록지 '!AE4)</f>
        <v/>
      </c>
      <c r="F97" s="980"/>
      <c r="G97" s="980"/>
      <c r="H97" s="1205" t="e">
        <f>E97-C97</f>
        <v>#VALUE!</v>
      </c>
      <c r="I97" s="1205"/>
      <c r="J97" s="1180" t="str">
        <f>IF('대기측정 분석결과서'!J23=1,"-",J94*R15)</f>
        <v>-</v>
      </c>
      <c r="K97" s="1181"/>
      <c r="P97" s="285"/>
      <c r="Q97" s="285"/>
      <c r="V97" s="270"/>
      <c r="W97" s="270"/>
    </row>
    <row r="98" spans="1:23" ht="14.1" customHeight="1">
      <c r="A98" s="1223"/>
      <c r="B98" s="1224"/>
      <c r="C98" s="1224"/>
      <c r="D98" s="1224"/>
      <c r="E98" s="1225"/>
      <c r="F98" s="1224"/>
      <c r="G98" s="1224"/>
      <c r="H98" s="965" t="s">
        <v>890</v>
      </c>
      <c r="I98" s="965"/>
      <c r="J98" s="1221"/>
      <c r="K98" s="1222"/>
      <c r="P98" s="354"/>
      <c r="Q98" s="354"/>
      <c r="V98" s="270"/>
      <c r="W98" s="270"/>
    </row>
    <row r="99" spans="1:23" ht="14.1" customHeight="1">
      <c r="H99" s="1205" t="e">
        <f>H95-H97</f>
        <v>#VALUE!</v>
      </c>
      <c r="I99" s="1205"/>
      <c r="J99" s="1182"/>
      <c r="K99" s="1183"/>
      <c r="M99" s="302"/>
      <c r="N99" s="365"/>
      <c r="O99" s="365"/>
      <c r="P99" s="354"/>
      <c r="Q99" s="354"/>
      <c r="R99" s="366"/>
      <c r="S99" s="366"/>
      <c r="T99" s="366"/>
      <c r="V99" s="270"/>
      <c r="W99" s="270"/>
    </row>
    <row r="100" spans="1:23" ht="18" customHeight="1">
      <c r="A100" s="301"/>
      <c r="B100" s="367"/>
      <c r="C100" s="367"/>
      <c r="D100" s="300"/>
      <c r="E100" s="300"/>
      <c r="F100" s="300"/>
      <c r="H100" s="560"/>
      <c r="I100" s="560"/>
      <c r="J100" s="367"/>
      <c r="K100" s="367"/>
      <c r="L100" s="300"/>
      <c r="M100" s="302"/>
      <c r="N100" s="368"/>
      <c r="O100" s="365"/>
      <c r="Q100" s="302"/>
      <c r="R100" s="366"/>
      <c r="S100" s="366"/>
      <c r="T100" s="366"/>
      <c r="V100" s="270"/>
      <c r="W100" s="270"/>
    </row>
    <row r="101" spans="1:23" ht="14.1" customHeight="1">
      <c r="A101" s="300"/>
      <c r="B101" s="369"/>
      <c r="C101" s="369"/>
      <c r="D101" s="369"/>
      <c r="E101" s="369"/>
      <c r="F101" s="369"/>
      <c r="I101" s="300"/>
      <c r="J101" s="369"/>
      <c r="K101" s="369"/>
      <c r="L101" s="369"/>
      <c r="M101" s="370"/>
      <c r="N101" s="301"/>
      <c r="O101" s="545"/>
      <c r="R101" s="1047"/>
      <c r="S101" s="1047"/>
      <c r="T101" s="545"/>
      <c r="U101" s="545"/>
    </row>
    <row r="102" spans="1:23" ht="14.1" customHeight="1">
      <c r="A102" s="371"/>
      <c r="B102" s="372"/>
      <c r="C102" s="373"/>
      <c r="D102" s="374"/>
      <c r="E102" s="374"/>
      <c r="F102" s="374"/>
      <c r="G102" s="329"/>
      <c r="H102" s="329"/>
      <c r="J102" s="372"/>
      <c r="K102" s="373"/>
      <c r="L102" s="374"/>
      <c r="M102" s="374"/>
      <c r="N102" s="374"/>
    </row>
    <row r="103" spans="1:23" ht="14.1" customHeight="1">
      <c r="Q103" s="302"/>
      <c r="R103" s="366"/>
      <c r="S103" s="366"/>
      <c r="T103" s="366"/>
      <c r="U103" s="366"/>
    </row>
    <row r="104" spans="1:23">
      <c r="Q104" s="302"/>
      <c r="R104" s="366"/>
      <c r="S104" s="366"/>
      <c r="T104" s="366"/>
      <c r="U104" s="366"/>
    </row>
    <row r="105" spans="1:23">
      <c r="R105" s="1047"/>
      <c r="S105" s="1047"/>
      <c r="T105" s="545"/>
      <c r="U105" s="312"/>
    </row>
    <row r="107" spans="1:23" ht="5.25" customHeight="1"/>
    <row r="110" spans="1:23" ht="7.5" customHeight="1"/>
    <row r="115" spans="1:5">
      <c r="A115" s="764"/>
      <c r="B115" s="765"/>
      <c r="C115" s="765"/>
      <c r="D115" s="765"/>
      <c r="E115" s="765"/>
    </row>
    <row r="116" spans="1:5">
      <c r="A116" s="353"/>
      <c r="B116" s="765"/>
      <c r="C116" s="765"/>
      <c r="D116" s="765"/>
      <c r="E116" s="765"/>
    </row>
    <row r="117" spans="1:5">
      <c r="A117" s="353"/>
      <c r="B117" s="765"/>
      <c r="C117" s="765"/>
      <c r="D117" s="765"/>
      <c r="E117" s="765"/>
    </row>
    <row r="118" spans="1:5">
      <c r="A118" s="370"/>
      <c r="B118" s="766"/>
      <c r="C118" s="766"/>
      <c r="D118" s="767"/>
      <c r="E118" s="767"/>
    </row>
    <row r="119" spans="1:5">
      <c r="A119" s="353"/>
      <c r="B119" s="765"/>
      <c r="C119" s="765"/>
      <c r="D119" s="767"/>
      <c r="E119" s="767"/>
    </row>
    <row r="120" spans="1:5">
      <c r="A120" s="353"/>
      <c r="B120" s="765"/>
      <c r="C120" s="765"/>
      <c r="D120" s="767"/>
      <c r="E120" s="767"/>
    </row>
    <row r="121" spans="1:5">
      <c r="A121" s="353"/>
      <c r="B121" s="765"/>
      <c r="C121" s="765"/>
      <c r="D121" s="765"/>
      <c r="E121" s="765"/>
    </row>
  </sheetData>
  <sheetProtection selectLockedCells="1"/>
  <mergeCells count="441">
    <mergeCell ref="A96:B96"/>
    <mergeCell ref="C96:D96"/>
    <mergeCell ref="E96:G96"/>
    <mergeCell ref="H96:I96"/>
    <mergeCell ref="H99:I99"/>
    <mergeCell ref="J97:K99"/>
    <mergeCell ref="A97:B97"/>
    <mergeCell ref="C97:D97"/>
    <mergeCell ref="E97:G97"/>
    <mergeCell ref="H97:I97"/>
    <mergeCell ref="A98:B98"/>
    <mergeCell ref="C98:D98"/>
    <mergeCell ref="E98:G98"/>
    <mergeCell ref="H98:I98"/>
    <mergeCell ref="J96:K96"/>
    <mergeCell ref="A53:F53"/>
    <mergeCell ref="A51:F51"/>
    <mergeCell ref="H52:L52"/>
    <mergeCell ref="A48:F48"/>
    <mergeCell ref="H50:L50"/>
    <mergeCell ref="A54:F54"/>
    <mergeCell ref="H54:L54"/>
    <mergeCell ref="M54:N54"/>
    <mergeCell ref="A50:F50"/>
    <mergeCell ref="A52:F52"/>
    <mergeCell ref="A49:F49"/>
    <mergeCell ref="H67:I68"/>
    <mergeCell ref="J67:K68"/>
    <mergeCell ref="M59:N59"/>
    <mergeCell ref="I44:J44"/>
    <mergeCell ref="M51:N51"/>
    <mergeCell ref="H56:L56"/>
    <mergeCell ref="M56:N56"/>
    <mergeCell ref="L70:M70"/>
    <mergeCell ref="L67:M68"/>
    <mergeCell ref="H49:L49"/>
    <mergeCell ref="M65:N65"/>
    <mergeCell ref="M50:N50"/>
    <mergeCell ref="H55:L55"/>
    <mergeCell ref="H57:L57"/>
    <mergeCell ref="M57:N57"/>
    <mergeCell ref="P83:Q83"/>
    <mergeCell ref="R86:S86"/>
    <mergeCell ref="P87:Q87"/>
    <mergeCell ref="N85:O85"/>
    <mergeCell ref="H87:I87"/>
    <mergeCell ref="N87:O87"/>
    <mergeCell ref="R84:S84"/>
    <mergeCell ref="P84:Q84"/>
    <mergeCell ref="P86:Q86"/>
    <mergeCell ref="H85:I85"/>
    <mergeCell ref="L86:M86"/>
    <mergeCell ref="J86:K86"/>
    <mergeCell ref="H86:I86"/>
    <mergeCell ref="L84:M84"/>
    <mergeCell ref="R87:S87"/>
    <mergeCell ref="L94:M95"/>
    <mergeCell ref="E95:G95"/>
    <mergeCell ref="A94:B94"/>
    <mergeCell ref="E94:G94"/>
    <mergeCell ref="H94:I94"/>
    <mergeCell ref="N93:R93"/>
    <mergeCell ref="N94:S94"/>
    <mergeCell ref="N95:S95"/>
    <mergeCell ref="N86:O86"/>
    <mergeCell ref="C94:D94"/>
    <mergeCell ref="C93:I93"/>
    <mergeCell ref="J94:K95"/>
    <mergeCell ref="J93:K93"/>
    <mergeCell ref="A90:F90"/>
    <mergeCell ref="H91:I91"/>
    <mergeCell ref="A95:B95"/>
    <mergeCell ref="H95:I95"/>
    <mergeCell ref="C95:D95"/>
    <mergeCell ref="A84:F84"/>
    <mergeCell ref="A89:F89"/>
    <mergeCell ref="A88:F88"/>
    <mergeCell ref="L88:M88"/>
    <mergeCell ref="L87:M87"/>
    <mergeCell ref="L89:M89"/>
    <mergeCell ref="A86:F86"/>
    <mergeCell ref="A78:F78"/>
    <mergeCell ref="A81:F81"/>
    <mergeCell ref="H89:I89"/>
    <mergeCell ref="H88:I88"/>
    <mergeCell ref="L85:M85"/>
    <mergeCell ref="J85:K85"/>
    <mergeCell ref="J89:K89"/>
    <mergeCell ref="J88:K88"/>
    <mergeCell ref="A85:F85"/>
    <mergeCell ref="H80:I80"/>
    <mergeCell ref="A87:F87"/>
    <mergeCell ref="J87:K87"/>
    <mergeCell ref="H73:I73"/>
    <mergeCell ref="N67:O68"/>
    <mergeCell ref="P72:Q72"/>
    <mergeCell ref="P71:Q71"/>
    <mergeCell ref="H83:I83"/>
    <mergeCell ref="A75:F75"/>
    <mergeCell ref="J74:K74"/>
    <mergeCell ref="N74:O74"/>
    <mergeCell ref="N77:O77"/>
    <mergeCell ref="N75:O75"/>
    <mergeCell ref="N76:O76"/>
    <mergeCell ref="N79:O79"/>
    <mergeCell ref="N83:O83"/>
    <mergeCell ref="A82:F82"/>
    <mergeCell ref="A83:F83"/>
    <mergeCell ref="A77:F77"/>
    <mergeCell ref="N78:O78"/>
    <mergeCell ref="A74:F74"/>
    <mergeCell ref="A79:F79"/>
    <mergeCell ref="A80:F80"/>
    <mergeCell ref="H77:I77"/>
    <mergeCell ref="J77:K77"/>
    <mergeCell ref="H82:I82"/>
    <mergeCell ref="H81:I81"/>
    <mergeCell ref="A76:F76"/>
    <mergeCell ref="H59:L59"/>
    <mergeCell ref="G67:G68"/>
    <mergeCell ref="J81:K81"/>
    <mergeCell ref="H78:I78"/>
    <mergeCell ref="H79:I79"/>
    <mergeCell ref="J78:K78"/>
    <mergeCell ref="H72:I72"/>
    <mergeCell ref="A71:F71"/>
    <mergeCell ref="A70:F70"/>
    <mergeCell ref="A69:F69"/>
    <mergeCell ref="A72:F72"/>
    <mergeCell ref="J71:K71"/>
    <mergeCell ref="H71:I71"/>
    <mergeCell ref="A65:F65"/>
    <mergeCell ref="A59:F59"/>
    <mergeCell ref="H65:L65"/>
    <mergeCell ref="H69:I69"/>
    <mergeCell ref="L72:M72"/>
    <mergeCell ref="L71:M71"/>
    <mergeCell ref="A73:F73"/>
    <mergeCell ref="A67:F68"/>
    <mergeCell ref="L69:M69"/>
    <mergeCell ref="A64:F64"/>
    <mergeCell ref="T2:U2"/>
    <mergeCell ref="O25:P25"/>
    <mergeCell ref="O30:P30"/>
    <mergeCell ref="O29:P29"/>
    <mergeCell ref="O28:P28"/>
    <mergeCell ref="M9:Q9"/>
    <mergeCell ref="Q31:R32"/>
    <mergeCell ref="Q25:R25"/>
    <mergeCell ref="U21:V21"/>
    <mergeCell ref="O26:P26"/>
    <mergeCell ref="O27:P27"/>
    <mergeCell ref="Q27:R27"/>
    <mergeCell ref="Q26:R26"/>
    <mergeCell ref="P7:Q7"/>
    <mergeCell ref="P8:Q8"/>
    <mergeCell ref="T13:AA14"/>
    <mergeCell ref="T19:T20"/>
    <mergeCell ref="S22:T22"/>
    <mergeCell ref="O15:Q16"/>
    <mergeCell ref="R15:S16"/>
    <mergeCell ref="O13:Q14"/>
    <mergeCell ref="R13:S14"/>
    <mergeCell ref="M31:P32"/>
    <mergeCell ref="O22:P22"/>
    <mergeCell ref="K4:L4"/>
    <mergeCell ref="H4:J4"/>
    <mergeCell ref="N72:O72"/>
    <mergeCell ref="J72:K72"/>
    <mergeCell ref="N69:O69"/>
    <mergeCell ref="N70:O70"/>
    <mergeCell ref="A42:C42"/>
    <mergeCell ref="K42:L42"/>
    <mergeCell ref="F42:H42"/>
    <mergeCell ref="F43:H43"/>
    <mergeCell ref="A44:C44"/>
    <mergeCell ref="A43:C43"/>
    <mergeCell ref="F44:H44"/>
    <mergeCell ref="D43:E43"/>
    <mergeCell ref="D42:E42"/>
    <mergeCell ref="D41:E41"/>
    <mergeCell ref="F41:H41"/>
    <mergeCell ref="H48:L48"/>
    <mergeCell ref="K31:L32"/>
    <mergeCell ref="M40:N40"/>
    <mergeCell ref="D40:E40"/>
    <mergeCell ref="A41:C41"/>
    <mergeCell ref="H70:I70"/>
    <mergeCell ref="H63:L63"/>
    <mergeCell ref="D44:E44"/>
    <mergeCell ref="K41:L41"/>
    <mergeCell ref="M41:N41"/>
    <mergeCell ref="I41:J41"/>
    <mergeCell ref="F40:H40"/>
    <mergeCell ref="A40:C40"/>
    <mergeCell ref="K44:L44"/>
    <mergeCell ref="M48:N48"/>
    <mergeCell ref="M44:N44"/>
    <mergeCell ref="M42:N42"/>
    <mergeCell ref="A57:F57"/>
    <mergeCell ref="A63:F63"/>
    <mergeCell ref="M63:N63"/>
    <mergeCell ref="A56:F56"/>
    <mergeCell ref="M55:N55"/>
    <mergeCell ref="A58:F58"/>
    <mergeCell ref="M64:N64"/>
    <mergeCell ref="H58:L58"/>
    <mergeCell ref="M58:N58"/>
    <mergeCell ref="H64:L64"/>
    <mergeCell ref="A55:F55"/>
    <mergeCell ref="D24:E25"/>
    <mergeCell ref="K28:L28"/>
    <mergeCell ref="I29:J29"/>
    <mergeCell ref="I30:J30"/>
    <mergeCell ref="K25:L25"/>
    <mergeCell ref="I25:J25"/>
    <mergeCell ref="D26:E26"/>
    <mergeCell ref="K26:L26"/>
    <mergeCell ref="A28:C28"/>
    <mergeCell ref="I28:J28"/>
    <mergeCell ref="I27:J27"/>
    <mergeCell ref="I26:J26"/>
    <mergeCell ref="F28:H28"/>
    <mergeCell ref="F27:H27"/>
    <mergeCell ref="A29:C29"/>
    <mergeCell ref="K30:L30"/>
    <mergeCell ref="K29:L29"/>
    <mergeCell ref="K27:L27"/>
    <mergeCell ref="A24:C25"/>
    <mergeCell ref="F24:H25"/>
    <mergeCell ref="I24:R24"/>
    <mergeCell ref="M26:N26"/>
    <mergeCell ref="M30:N30"/>
    <mergeCell ref="M29:N29"/>
    <mergeCell ref="A31:C32"/>
    <mergeCell ref="F30:H30"/>
    <mergeCell ref="F29:H29"/>
    <mergeCell ref="D30:E30"/>
    <mergeCell ref="D29:E29"/>
    <mergeCell ref="A30:C30"/>
    <mergeCell ref="F26:H26"/>
    <mergeCell ref="D28:E28"/>
    <mergeCell ref="A26:C26"/>
    <mergeCell ref="A27:C27"/>
    <mergeCell ref="D27:E27"/>
    <mergeCell ref="F31:J32"/>
    <mergeCell ref="D31:E32"/>
    <mergeCell ref="A1:J2"/>
    <mergeCell ref="H19:L19"/>
    <mergeCell ref="H9:L9"/>
    <mergeCell ref="A19:F19"/>
    <mergeCell ref="H14:L14"/>
    <mergeCell ref="H16:L16"/>
    <mergeCell ref="H8:I8"/>
    <mergeCell ref="J8:K8"/>
    <mergeCell ref="L8:M8"/>
    <mergeCell ref="L7:M7"/>
    <mergeCell ref="A13:F14"/>
    <mergeCell ref="A15:F16"/>
    <mergeCell ref="G15:G16"/>
    <mergeCell ref="H15:I15"/>
    <mergeCell ref="J15:K15"/>
    <mergeCell ref="M15:N16"/>
    <mergeCell ref="A4:F4"/>
    <mergeCell ref="A5:F5"/>
    <mergeCell ref="A6:F6"/>
    <mergeCell ref="A7:F8"/>
    <mergeCell ref="G7:G8"/>
    <mergeCell ref="H5:L5"/>
    <mergeCell ref="G13:G14"/>
    <mergeCell ref="H7:I7"/>
    <mergeCell ref="A33:C33"/>
    <mergeCell ref="D39:E39"/>
    <mergeCell ref="A39:C39"/>
    <mergeCell ref="I39:J39"/>
    <mergeCell ref="F39:H39"/>
    <mergeCell ref="K39:L39"/>
    <mergeCell ref="M39:N39"/>
    <mergeCell ref="F37:H38"/>
    <mergeCell ref="A35:L36"/>
    <mergeCell ref="A37:C38"/>
    <mergeCell ref="M35:M36"/>
    <mergeCell ref="N35:N36"/>
    <mergeCell ref="I37:J38"/>
    <mergeCell ref="D37:E38"/>
    <mergeCell ref="K37:L38"/>
    <mergeCell ref="M37:N38"/>
    <mergeCell ref="F33:I33"/>
    <mergeCell ref="J7:K7"/>
    <mergeCell ref="F21:G21"/>
    <mergeCell ref="F22:G22"/>
    <mergeCell ref="A17:F18"/>
    <mergeCell ref="H17:I17"/>
    <mergeCell ref="J17:K17"/>
    <mergeCell ref="U86:V86"/>
    <mergeCell ref="R80:S80"/>
    <mergeCell ref="P73:Q73"/>
    <mergeCell ref="R82:S82"/>
    <mergeCell ref="R83:S83"/>
    <mergeCell ref="L81:M81"/>
    <mergeCell ref="J79:K79"/>
    <mergeCell ref="H75:I75"/>
    <mergeCell ref="J83:K83"/>
    <mergeCell ref="H84:I84"/>
    <mergeCell ref="J73:K73"/>
    <mergeCell ref="U85:V85"/>
    <mergeCell ref="V81:W81"/>
    <mergeCell ref="J84:K84"/>
    <mergeCell ref="J82:K82"/>
    <mergeCell ref="H74:I74"/>
    <mergeCell ref="H76:I76"/>
    <mergeCell ref="R79:S79"/>
    <mergeCell ref="R75:S75"/>
    <mergeCell ref="R76:S76"/>
    <mergeCell ref="R74:S74"/>
    <mergeCell ref="L83:M83"/>
    <mergeCell ref="R77:S77"/>
    <mergeCell ref="N84:O84"/>
    <mergeCell ref="R105:S105"/>
    <mergeCell ref="R101:S101"/>
    <mergeCell ref="R88:S88"/>
    <mergeCell ref="P88:Q88"/>
    <mergeCell ref="N89:O89"/>
    <mergeCell ref="P89:Q89"/>
    <mergeCell ref="N88:O88"/>
    <mergeCell ref="R91:S91"/>
    <mergeCell ref="N91:Q91"/>
    <mergeCell ref="P85:Q85"/>
    <mergeCell ref="P80:Q80"/>
    <mergeCell ref="P81:Q81"/>
    <mergeCell ref="P78:Q78"/>
    <mergeCell ref="R85:S85"/>
    <mergeCell ref="L75:M75"/>
    <mergeCell ref="H90:S90"/>
    <mergeCell ref="R89:S89"/>
    <mergeCell ref="L93:M93"/>
    <mergeCell ref="AD75:AF75"/>
    <mergeCell ref="AD76:AF76"/>
    <mergeCell ref="AD77:AF77"/>
    <mergeCell ref="V77:W77"/>
    <mergeCell ref="X75:Z75"/>
    <mergeCell ref="X76:Z76"/>
    <mergeCell ref="X77:Z77"/>
    <mergeCell ref="AA75:AC75"/>
    <mergeCell ref="AA76:AC76"/>
    <mergeCell ref="AA77:AC77"/>
    <mergeCell ref="AM70:AN70"/>
    <mergeCell ref="AM71:AN71"/>
    <mergeCell ref="W70:Y70"/>
    <mergeCell ref="W71:Y71"/>
    <mergeCell ref="Z70:AC70"/>
    <mergeCell ref="Z71:AC71"/>
    <mergeCell ref="AD70:AF70"/>
    <mergeCell ref="AD71:AF71"/>
    <mergeCell ref="AG70:AK70"/>
    <mergeCell ref="AG71:AK71"/>
    <mergeCell ref="T77:U77"/>
    <mergeCell ref="U81:U82"/>
    <mergeCell ref="T81:T83"/>
    <mergeCell ref="U84:V84"/>
    <mergeCell ref="M25:N25"/>
    <mergeCell ref="U31:U32"/>
    <mergeCell ref="S31:T32"/>
    <mergeCell ref="Q29:R29"/>
    <mergeCell ref="Q59:R59"/>
    <mergeCell ref="M49:N49"/>
    <mergeCell ref="M53:N53"/>
    <mergeCell ref="M43:N43"/>
    <mergeCell ref="Q28:R28"/>
    <mergeCell ref="M28:N28"/>
    <mergeCell ref="M27:N27"/>
    <mergeCell ref="Q30:R30"/>
    <mergeCell ref="P74:Q74"/>
    <mergeCell ref="P77:Q77"/>
    <mergeCell ref="R81:S81"/>
    <mergeCell ref="R55:S55"/>
    <mergeCell ref="L74:M74"/>
    <mergeCell ref="H53:L53"/>
    <mergeCell ref="P70:Q70"/>
    <mergeCell ref="U70:V70"/>
    <mergeCell ref="R73:S73"/>
    <mergeCell ref="N73:O73"/>
    <mergeCell ref="J69:K69"/>
    <mergeCell ref="R67:S68"/>
    <mergeCell ref="R69:S69"/>
    <mergeCell ref="R70:S70"/>
    <mergeCell ref="R71:S71"/>
    <mergeCell ref="J70:K70"/>
    <mergeCell ref="R72:S72"/>
    <mergeCell ref="P69:Q69"/>
    <mergeCell ref="P67:Q68"/>
    <mergeCell ref="L73:M73"/>
    <mergeCell ref="N71:O71"/>
    <mergeCell ref="O55:Q55"/>
    <mergeCell ref="O59:P59"/>
    <mergeCell ref="O60:P60"/>
    <mergeCell ref="Q60:R60"/>
    <mergeCell ref="K40:L40"/>
    <mergeCell ref="I43:J43"/>
    <mergeCell ref="I42:J42"/>
    <mergeCell ref="K43:L43"/>
    <mergeCell ref="I40:J40"/>
    <mergeCell ref="M52:N52"/>
    <mergeCell ref="H51:L51"/>
    <mergeCell ref="Q22:R22"/>
    <mergeCell ref="O17:Q20"/>
    <mergeCell ref="R17:S20"/>
    <mergeCell ref="U87:W87"/>
    <mergeCell ref="L76:M76"/>
    <mergeCell ref="L77:M77"/>
    <mergeCell ref="J80:K80"/>
    <mergeCell ref="L80:M80"/>
    <mergeCell ref="J75:K75"/>
    <mergeCell ref="P82:Q82"/>
    <mergeCell ref="N82:O82"/>
    <mergeCell ref="N80:O80"/>
    <mergeCell ref="L79:M79"/>
    <mergeCell ref="L78:M78"/>
    <mergeCell ref="P76:Q76"/>
    <mergeCell ref="P75:Q75"/>
    <mergeCell ref="P79:Q79"/>
    <mergeCell ref="N81:O81"/>
    <mergeCell ref="L82:M82"/>
    <mergeCell ref="U83:V83"/>
    <mergeCell ref="V78:W78"/>
    <mergeCell ref="V79:W79"/>
    <mergeCell ref="R78:S78"/>
    <mergeCell ref="J76:K76"/>
    <mergeCell ref="H13:I13"/>
    <mergeCell ref="J13:K13"/>
    <mergeCell ref="M13:N14"/>
    <mergeCell ref="H21:I21"/>
    <mergeCell ref="J21:K21"/>
    <mergeCell ref="H22:I22"/>
    <mergeCell ref="J22:K22"/>
    <mergeCell ref="A20:F20"/>
    <mergeCell ref="H20:L20"/>
    <mergeCell ref="M20:N20"/>
    <mergeCell ref="H18:L18"/>
    <mergeCell ref="M19:N19"/>
    <mergeCell ref="M17:N18"/>
  </mergeCells>
  <phoneticPr fontId="2" type="noConversion"/>
  <conditionalFormatting sqref="O5">
    <cfRule type="expression" dxfId="73" priority="6">
      <formula>WEEKDAY($O$5)=1</formula>
    </cfRule>
    <cfRule type="expression" dxfId="72" priority="7">
      <formula>WEEKDAY($O$5)&gt;6</formula>
    </cfRule>
  </conditionalFormatting>
  <conditionalFormatting sqref="S5:S6">
    <cfRule type="expression" dxfId="71" priority="3">
      <formula>WEEKDAY($S$5)&lt;2</formula>
    </cfRule>
    <cfRule type="expression" dxfId="70" priority="4">
      <formula>WEEKDAY($S$5)&gt;6</formula>
    </cfRule>
  </conditionalFormatting>
  <dataValidations count="6">
    <dataValidation type="list" allowBlank="1" showInputMessage="1" showErrorMessage="1" sqref="H63:L63" xr:uid="{00000000-0002-0000-0300-000000000000}">
      <formula1>기기번호</formula1>
    </dataValidation>
    <dataValidation type="list" allowBlank="1" showInputMessage="1" showErrorMessage="1" sqref="P4" xr:uid="{00000000-0002-0000-0300-000001000000}">
      <formula1>시료종류</formula1>
    </dataValidation>
    <dataValidation type="list" allowBlank="1" showInputMessage="1" showErrorMessage="1" sqref="T84" xr:uid="{00000000-0002-0000-0300-000002000000}">
      <formula1>INDIRECT($O$63)</formula1>
    </dataValidation>
    <dataValidation type="list" allowBlank="1" showInputMessage="1" error="오른쪽에 &lt;노즐번호&gt;목록의 노즐을 선택 후 적정노즐을 골라 주세요." sqref="H84:I84" xr:uid="{00000000-0002-0000-0300-000003000000}">
      <formula1>INDIRECT($T$84)</formula1>
    </dataValidation>
    <dataValidation type="custom" allowBlank="1" showInputMessage="1" showErrorMessage="1" errorTitle="무풍을 넣으려는 당신께" error="실내  -&gt;   -_x000a_실외(바람안붐)-&gt; 0.0 m/s" sqref="P8:Q8" xr:uid="{00000000-0002-0000-0300-000004000000}">
      <formula1>IF(OR(P8="-",TYPE(P8)=1),TRUE,FALSE)</formula1>
    </dataValidation>
    <dataValidation type="list" allowBlank="1" showInputMessage="1" showErrorMessage="1" sqref="H4:L4" xr:uid="{0E0F1862-62E1-472C-9000-ED85DBA3430F}">
      <formula1>기술인력들</formula1>
    </dataValidation>
  </dataValidations>
  <pageMargins left="0.7" right="0.7" top="0.75" bottom="0.75" header="0.3" footer="0.3"/>
  <pageSetup paperSize="9" scale="90" orientation="portrait" r:id="rId1"/>
  <rowBreaks count="1" manualBreakCount="1">
    <brk id="59" max="19" man="1"/>
  </rowBreaks>
  <colBreaks count="1" manualBreakCount="1">
    <brk id="20" max="1048575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5000000}">
          <x14:formula1>
            <xm:f>'피토관,노즐표'!$X$12:$X$17</xm:f>
          </x14:formula1>
          <xm:sqref>O63</xm:sqref>
        </x14:dataValidation>
        <x14:dataValidation type="list" allowBlank="1" showInputMessage="1" showErrorMessage="1" xr:uid="{00000000-0002-0000-0300-000006000000}">
          <x14:formula1>
            <xm:f>'대기측정 분석결과서'!$AG$5:$AG$8</xm:f>
          </x14:formula1>
          <xm:sqref>J8:K8</xm:sqref>
        </x14:dataValidation>
        <x14:dataValidation type="list" allowBlank="1" showInputMessage="1" showErrorMessage="1" error="바람이 안불면  정온 (풍)" xr:uid="{00000000-0002-0000-0300-000007000000}">
          <x14:formula1>
            <xm:f>'피토관,노즐표'!$M$22:$M$38</xm:f>
          </x14:formula1>
          <xm:sqref>O8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G60"/>
  <sheetViews>
    <sheetView topLeftCell="A37" zoomScaleNormal="100" workbookViewId="0">
      <selection activeCell="H59" sqref="H59"/>
    </sheetView>
  </sheetViews>
  <sheetFormatPr defaultRowHeight="16.899999999999999"/>
  <cols>
    <col min="1" max="17" width="11" customWidth="1"/>
    <col min="18" max="18" width="11" style="9" customWidth="1"/>
    <col min="19" max="26" width="11" customWidth="1"/>
    <col min="27" max="27" width="4" customWidth="1"/>
    <col min="28" max="56" width="11" customWidth="1"/>
  </cols>
  <sheetData>
    <row r="3" spans="2:33">
      <c r="B3" s="1276" t="s">
        <v>666</v>
      </c>
      <c r="C3" s="1276"/>
      <c r="D3" s="1276" t="s">
        <v>667</v>
      </c>
      <c r="E3" s="1276"/>
      <c r="F3" s="1276" t="s">
        <v>669</v>
      </c>
      <c r="G3" s="1276"/>
      <c r="H3" s="1276" t="s">
        <v>668</v>
      </c>
      <c r="I3" s="1276"/>
      <c r="J3" s="1276" t="s">
        <v>670</v>
      </c>
      <c r="K3" s="1276"/>
      <c r="L3" s="1276" t="s">
        <v>671</v>
      </c>
      <c r="M3" s="1276"/>
      <c r="N3" s="1276" t="s">
        <v>672</v>
      </c>
      <c r="O3" s="1276"/>
      <c r="P3" s="43"/>
      <c r="Q3" s="43"/>
      <c r="R3" s="627"/>
      <c r="S3" s="43"/>
      <c r="T3" s="43"/>
      <c r="U3" s="43"/>
      <c r="V3" s="43"/>
      <c r="W3" s="43"/>
      <c r="X3" s="43"/>
    </row>
    <row r="4" spans="2:33" ht="17.25" thickBot="1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4"/>
      <c r="S4" s="42"/>
      <c r="T4" s="42"/>
      <c r="U4" s="42"/>
      <c r="V4" s="42"/>
      <c r="W4" s="42"/>
      <c r="X4" s="42"/>
    </row>
    <row r="5" spans="2:33" ht="17.25" thickBot="1">
      <c r="B5" s="1277">
        <v>44.0411</v>
      </c>
      <c r="C5" s="1278"/>
      <c r="D5" s="1277">
        <v>47.292299999999997</v>
      </c>
      <c r="E5" s="1278"/>
      <c r="F5" s="1277">
        <v>46.5</v>
      </c>
      <c r="G5" s="1278"/>
      <c r="H5" s="1277">
        <v>47.4</v>
      </c>
      <c r="I5" s="1278"/>
      <c r="J5" s="1277">
        <v>47.3</v>
      </c>
      <c r="K5" s="1278"/>
      <c r="L5" s="1277">
        <v>46.3</v>
      </c>
      <c r="M5" s="1278"/>
      <c r="N5" s="1279">
        <v>49.8</v>
      </c>
      <c r="O5" s="1280"/>
      <c r="P5" s="1277" t="s">
        <v>1237</v>
      </c>
      <c r="Q5" s="1278"/>
      <c r="R5" s="1279" t="s">
        <v>1238</v>
      </c>
      <c r="S5" s="1280"/>
      <c r="T5" s="1277" t="s">
        <v>1239</v>
      </c>
      <c r="U5" s="1278"/>
      <c r="V5" s="1277" t="s">
        <v>1240</v>
      </c>
      <c r="W5" s="1278"/>
      <c r="X5" s="42">
        <v>44.0411</v>
      </c>
      <c r="Z5" t="s">
        <v>725</v>
      </c>
    </row>
    <row r="6" spans="2:33" ht="17.25" thickBot="1">
      <c r="B6" s="163">
        <v>0</v>
      </c>
      <c r="C6" s="116">
        <v>0.81299999999999994</v>
      </c>
      <c r="D6" s="164">
        <v>0</v>
      </c>
      <c r="E6" s="117">
        <v>0.82499999999999996</v>
      </c>
      <c r="F6" s="163">
        <v>0</v>
      </c>
      <c r="G6" s="165">
        <v>0.81699999999999995</v>
      </c>
      <c r="H6" s="164">
        <v>0</v>
      </c>
      <c r="I6" s="165">
        <v>0.80700000000000005</v>
      </c>
      <c r="J6" s="163">
        <v>0</v>
      </c>
      <c r="K6" s="165">
        <v>0.81799999999999995</v>
      </c>
      <c r="L6" s="163">
        <v>0</v>
      </c>
      <c r="M6" s="116">
        <v>0.82599999999999996</v>
      </c>
      <c r="N6" s="163">
        <v>0</v>
      </c>
      <c r="O6" s="116">
        <v>0.82099999999999995</v>
      </c>
      <c r="P6" s="128">
        <v>0</v>
      </c>
      <c r="Q6" s="117">
        <v>0.81</v>
      </c>
      <c r="R6" s="128">
        <v>0</v>
      </c>
      <c r="S6" s="118">
        <v>0.81599999999999995</v>
      </c>
      <c r="T6" s="127">
        <v>0</v>
      </c>
      <c r="U6" s="119">
        <v>0.80200000000000005</v>
      </c>
      <c r="V6" s="127">
        <v>0</v>
      </c>
      <c r="W6" s="119">
        <v>0.80200000000000005</v>
      </c>
      <c r="X6" s="42">
        <v>47.292299999999997</v>
      </c>
      <c r="Z6" s="204" t="s">
        <v>727</v>
      </c>
      <c r="AA6" s="101"/>
      <c r="AB6" s="207" t="s">
        <v>727</v>
      </c>
      <c r="AC6" s="208" t="s">
        <v>1237</v>
      </c>
      <c r="AD6" s="208" t="s">
        <v>1238</v>
      </c>
      <c r="AE6" s="208" t="s">
        <v>1239</v>
      </c>
      <c r="AF6" s="208" t="s">
        <v>1240</v>
      </c>
      <c r="AG6" s="209" t="s">
        <v>723</v>
      </c>
    </row>
    <row r="7" spans="2:33" ht="17.25" thickBot="1">
      <c r="B7" s="164">
        <v>5.08</v>
      </c>
      <c r="C7" s="116">
        <v>0.83199999999999996</v>
      </c>
      <c r="D7" s="164">
        <v>5.08</v>
      </c>
      <c r="E7" s="117">
        <v>0.82799999999999996</v>
      </c>
      <c r="F7" s="164">
        <v>4.9400000000000004</v>
      </c>
      <c r="G7" s="165">
        <v>0.82199999999999995</v>
      </c>
      <c r="H7" s="164">
        <v>4.95</v>
      </c>
      <c r="I7" s="165">
        <v>0.82899999999999996</v>
      </c>
      <c r="J7" s="164">
        <v>5.08</v>
      </c>
      <c r="K7" s="165">
        <v>0.82499999999999996</v>
      </c>
      <c r="L7" s="164">
        <v>5.08</v>
      </c>
      <c r="M7" s="116">
        <v>0.83</v>
      </c>
      <c r="N7" s="164">
        <v>5.08</v>
      </c>
      <c r="O7" s="116">
        <v>0.83499999999999996</v>
      </c>
      <c r="P7" s="129">
        <v>4.8</v>
      </c>
      <c r="Q7" s="117">
        <v>0.82899999999999996</v>
      </c>
      <c r="R7" s="131">
        <v>4.96</v>
      </c>
      <c r="S7" s="118">
        <v>0.82399999999999995</v>
      </c>
      <c r="T7" s="131">
        <v>4.8</v>
      </c>
      <c r="U7" s="119">
        <v>0.82799999999999996</v>
      </c>
      <c r="V7" s="131">
        <v>4.8</v>
      </c>
      <c r="W7" s="119">
        <v>0.82599999999999996</v>
      </c>
      <c r="X7" s="42">
        <v>46.5</v>
      </c>
      <c r="Z7" s="205" t="s">
        <v>1237</v>
      </c>
      <c r="AB7" s="173" t="s">
        <v>690</v>
      </c>
      <c r="AC7" s="199" t="s">
        <v>1242</v>
      </c>
      <c r="AD7" s="196" t="s">
        <v>1242</v>
      </c>
      <c r="AE7" s="196" t="s">
        <v>1242</v>
      </c>
      <c r="AF7" s="196" t="s">
        <v>1241</v>
      </c>
      <c r="AG7" s="173" t="s">
        <v>697</v>
      </c>
    </row>
    <row r="8" spans="2:33" ht="17.25" thickBot="1">
      <c r="B8" s="120"/>
      <c r="C8" s="116"/>
      <c r="D8" s="127"/>
      <c r="E8" s="119"/>
      <c r="F8" s="164"/>
      <c r="G8" s="165"/>
      <c r="H8" s="164"/>
      <c r="I8" s="165"/>
      <c r="J8" s="164"/>
      <c r="K8" s="165"/>
      <c r="L8" s="164"/>
      <c r="M8" s="116"/>
      <c r="N8" s="166"/>
      <c r="O8" s="116"/>
      <c r="P8" s="129">
        <v>10.210000000000001</v>
      </c>
      <c r="Q8" s="162">
        <v>0.82899999999999996</v>
      </c>
      <c r="R8" s="131">
        <v>10.41</v>
      </c>
      <c r="S8" s="118">
        <v>0.81799999999999995</v>
      </c>
      <c r="T8" s="131">
        <v>10.199999999999999</v>
      </c>
      <c r="U8" s="117">
        <v>0.83</v>
      </c>
      <c r="V8" s="131">
        <v>10.199999999999999</v>
      </c>
      <c r="W8" s="117">
        <v>0.83</v>
      </c>
      <c r="X8" s="42">
        <v>47.4</v>
      </c>
      <c r="Z8" s="205" t="s">
        <v>1238</v>
      </c>
      <c r="AB8" s="177" t="s">
        <v>692</v>
      </c>
      <c r="AG8" s="182" t="s">
        <v>699</v>
      </c>
    </row>
    <row r="9" spans="2:33">
      <c r="B9" s="120"/>
      <c r="C9" s="116"/>
      <c r="D9" s="121"/>
      <c r="E9" s="119"/>
      <c r="F9" s="164"/>
      <c r="G9" s="165"/>
      <c r="H9" s="164"/>
      <c r="I9" s="165"/>
      <c r="J9" s="164"/>
      <c r="K9" s="165"/>
      <c r="L9" s="164"/>
      <c r="M9" s="116"/>
      <c r="N9" s="166"/>
      <c r="O9" s="116"/>
      <c r="P9" s="129">
        <v>15.48</v>
      </c>
      <c r="Q9" s="117">
        <v>0.83</v>
      </c>
      <c r="R9" s="131">
        <v>14.65</v>
      </c>
      <c r="S9" s="118">
        <v>0.82199999999999995</v>
      </c>
      <c r="T9" s="131">
        <v>15.36</v>
      </c>
      <c r="U9" s="117">
        <v>0.83299999999999996</v>
      </c>
      <c r="V9" s="131">
        <v>15.41</v>
      </c>
      <c r="W9" s="117">
        <v>0.83599999999999997</v>
      </c>
      <c r="X9" s="42">
        <v>47.3</v>
      </c>
      <c r="Z9" s="205" t="s">
        <v>1239</v>
      </c>
      <c r="AB9" s="177" t="s">
        <v>693</v>
      </c>
      <c r="AG9" s="197"/>
    </row>
    <row r="10" spans="2:33" ht="17.25" thickBot="1">
      <c r="B10" s="120"/>
      <c r="C10" s="116"/>
      <c r="D10" s="121"/>
      <c r="E10" s="119"/>
      <c r="F10" s="164"/>
      <c r="G10" s="165"/>
      <c r="H10" s="164"/>
      <c r="I10" s="165"/>
      <c r="J10" s="164"/>
      <c r="K10" s="165"/>
      <c r="L10" s="164"/>
      <c r="M10" s="116"/>
      <c r="N10" s="166"/>
      <c r="O10" s="116"/>
      <c r="P10" s="129">
        <v>19.63</v>
      </c>
      <c r="Q10" s="117">
        <v>0.83199999999999996</v>
      </c>
      <c r="R10" s="131">
        <v>19.899999999999999</v>
      </c>
      <c r="S10" s="118">
        <v>0.82499999999999996</v>
      </c>
      <c r="T10" s="131">
        <v>19.43</v>
      </c>
      <c r="U10" s="117">
        <v>0.83</v>
      </c>
      <c r="V10" s="131">
        <v>19.46</v>
      </c>
      <c r="W10" s="117">
        <v>0.83</v>
      </c>
      <c r="X10" s="42">
        <v>46.3</v>
      </c>
      <c r="Z10" s="205" t="s">
        <v>1240</v>
      </c>
      <c r="AB10" s="182" t="s">
        <v>694</v>
      </c>
      <c r="AG10" s="197"/>
    </row>
    <row r="11" spans="2:33" ht="17.25" thickBot="1">
      <c r="B11" s="167"/>
      <c r="C11" s="116"/>
      <c r="D11" s="121"/>
      <c r="E11" s="119"/>
      <c r="F11" s="164"/>
      <c r="G11" s="165"/>
      <c r="H11" s="164"/>
      <c r="I11" s="165"/>
      <c r="J11" s="164"/>
      <c r="K11" s="165"/>
      <c r="L11" s="164"/>
      <c r="M11" s="116"/>
      <c r="N11" s="166"/>
      <c r="O11" s="116"/>
      <c r="P11" s="129">
        <v>24.52</v>
      </c>
      <c r="Q11" s="117">
        <v>0.82599999999999996</v>
      </c>
      <c r="R11" s="131">
        <v>25.13</v>
      </c>
      <c r="S11" s="118">
        <v>0.82299999999999995</v>
      </c>
      <c r="T11" s="131">
        <v>24.45</v>
      </c>
      <c r="U11" s="117">
        <v>0.83</v>
      </c>
      <c r="V11" s="131">
        <v>24.44</v>
      </c>
      <c r="W11" s="117">
        <v>0.83</v>
      </c>
      <c r="X11" s="42">
        <v>49.8</v>
      </c>
      <c r="Z11" s="206" t="s">
        <v>723</v>
      </c>
      <c r="AA11" s="147"/>
      <c r="AB11" s="147"/>
      <c r="AC11" s="147"/>
      <c r="AD11" s="147"/>
      <c r="AE11" s="147"/>
      <c r="AF11" s="147"/>
      <c r="AG11" s="198"/>
    </row>
    <row r="12" spans="2:33" ht="17.25" thickTop="1">
      <c r="B12" s="168"/>
      <c r="C12" s="169"/>
      <c r="D12" s="121"/>
      <c r="E12" s="119"/>
      <c r="F12" s="164"/>
      <c r="G12" s="165"/>
      <c r="H12" s="164"/>
      <c r="I12" s="165"/>
      <c r="J12" s="164"/>
      <c r="K12" s="165"/>
      <c r="L12" s="164"/>
      <c r="M12" s="116"/>
      <c r="N12" s="166"/>
      <c r="O12" s="116"/>
      <c r="P12" s="129">
        <v>29.84</v>
      </c>
      <c r="Q12" s="117">
        <v>0.83399999999999996</v>
      </c>
      <c r="R12" s="131">
        <v>30.32</v>
      </c>
      <c r="S12" s="118">
        <v>0.82499999999999996</v>
      </c>
      <c r="T12" s="131">
        <v>29.58</v>
      </c>
      <c r="U12" s="117">
        <v>0.83099999999999996</v>
      </c>
      <c r="V12" s="131">
        <v>29.7</v>
      </c>
      <c r="W12" s="117">
        <v>0.82799999999999996</v>
      </c>
      <c r="X12" t="s">
        <v>727</v>
      </c>
    </row>
    <row r="13" spans="2:33">
      <c r="B13" s="120"/>
      <c r="C13" s="116"/>
      <c r="D13" s="121"/>
      <c r="E13" s="119"/>
      <c r="F13" s="129"/>
      <c r="G13" s="116"/>
      <c r="H13" s="129"/>
      <c r="I13" s="116"/>
      <c r="J13" s="129"/>
      <c r="K13" s="116"/>
      <c r="L13" s="129"/>
      <c r="M13" s="116"/>
      <c r="N13" s="166"/>
      <c r="O13" s="116"/>
      <c r="P13" s="129">
        <v>35.200000000000003</v>
      </c>
      <c r="Q13" s="117">
        <v>0.83199999999999996</v>
      </c>
      <c r="R13" s="131">
        <v>34.61</v>
      </c>
      <c r="S13" s="122">
        <v>0.82299999999999995</v>
      </c>
      <c r="T13" s="131">
        <v>35.020000000000003</v>
      </c>
      <c r="U13" s="117">
        <v>0.83499999999999996</v>
      </c>
      <c r="V13" s="131">
        <v>35.01</v>
      </c>
      <c r="W13" s="117">
        <v>0.83299999999999996</v>
      </c>
      <c r="X13" s="44" t="s">
        <v>1237</v>
      </c>
    </row>
    <row r="14" spans="2:33" ht="17.25" thickBot="1">
      <c r="B14" s="170"/>
      <c r="C14" s="171"/>
      <c r="D14" s="123"/>
      <c r="E14" s="124"/>
      <c r="F14" s="130"/>
      <c r="G14" s="171"/>
      <c r="H14" s="130"/>
      <c r="I14" s="171"/>
      <c r="J14" s="130"/>
      <c r="K14" s="171"/>
      <c r="L14" s="130"/>
      <c r="M14" s="171"/>
      <c r="N14" s="172"/>
      <c r="O14" s="171"/>
      <c r="P14" s="130">
        <v>38.72</v>
      </c>
      <c r="Q14" s="124">
        <v>0.83599999999999997</v>
      </c>
      <c r="R14" s="125"/>
      <c r="S14" s="126"/>
      <c r="T14" s="873"/>
      <c r="U14" s="873"/>
      <c r="V14" s="132"/>
      <c r="W14" s="124"/>
      <c r="X14" s="44" t="s">
        <v>1238</v>
      </c>
    </row>
    <row r="15" spans="2:33">
      <c r="B15" s="1281" t="s">
        <v>673</v>
      </c>
      <c r="C15" s="1281"/>
      <c r="D15" s="1281" t="s">
        <v>674</v>
      </c>
      <c r="E15" s="1281"/>
      <c r="F15" s="1281" t="s">
        <v>675</v>
      </c>
      <c r="G15" s="1281"/>
      <c r="H15" s="1281" t="s">
        <v>676</v>
      </c>
      <c r="I15" s="1281"/>
      <c r="J15" s="1281" t="s">
        <v>677</v>
      </c>
      <c r="K15" s="1281"/>
      <c r="L15" s="1281" t="s">
        <v>678</v>
      </c>
      <c r="M15" s="1281"/>
      <c r="N15" s="1281" t="s">
        <v>679</v>
      </c>
      <c r="O15" s="1281"/>
      <c r="P15" s="1281" t="s">
        <v>680</v>
      </c>
      <c r="Q15" s="1281"/>
      <c r="R15" s="1281" t="s">
        <v>681</v>
      </c>
      <c r="S15" s="1281"/>
      <c r="T15" s="1281" t="s">
        <v>682</v>
      </c>
      <c r="U15" s="1281"/>
      <c r="V15" s="1281" t="s">
        <v>682</v>
      </c>
      <c r="W15" s="1281"/>
      <c r="X15" s="44" t="s">
        <v>1239</v>
      </c>
    </row>
    <row r="16" spans="2:33">
      <c r="X16" s="44" t="s">
        <v>1240</v>
      </c>
    </row>
    <row r="17" spans="2:24" ht="17.25" thickBot="1">
      <c r="X17" s="44" t="s">
        <v>723</v>
      </c>
    </row>
    <row r="18" spans="2:24">
      <c r="B18" t="s">
        <v>683</v>
      </c>
      <c r="V18" s="1277" t="s">
        <v>723</v>
      </c>
      <c r="W18" s="1278"/>
    </row>
    <row r="19" spans="2:24" ht="17.25" thickBot="1">
      <c r="D19" s="203" t="s">
        <v>684</v>
      </c>
      <c r="E19" s="203" t="s">
        <v>685</v>
      </c>
      <c r="F19" s="203" t="s">
        <v>686</v>
      </c>
      <c r="G19" s="203" t="s">
        <v>687</v>
      </c>
      <c r="H19" s="203" t="s">
        <v>1242</v>
      </c>
      <c r="I19" s="203" t="s">
        <v>1241</v>
      </c>
      <c r="J19" s="203" t="s">
        <v>688</v>
      </c>
      <c r="K19" s="203" t="s">
        <v>689</v>
      </c>
      <c r="L19" s="44"/>
      <c r="M19" s="44"/>
      <c r="O19" t="s">
        <v>716</v>
      </c>
      <c r="R19" s="9" t="s">
        <v>1088</v>
      </c>
      <c r="V19" s="127">
        <v>0</v>
      </c>
      <c r="W19" s="119">
        <v>0.81799999999999995</v>
      </c>
    </row>
    <row r="20" spans="2:24" ht="17.25" thickBot="1">
      <c r="B20" s="200" t="s">
        <v>690</v>
      </c>
      <c r="C20" s="42"/>
      <c r="D20" s="173">
        <v>0.31900000000000001</v>
      </c>
      <c r="E20" s="173">
        <v>0.315</v>
      </c>
      <c r="F20" s="173">
        <v>0.39500000000000002</v>
      </c>
      <c r="G20" s="174">
        <v>0.39</v>
      </c>
      <c r="H20" s="175">
        <v>0.31</v>
      </c>
      <c r="I20" s="174">
        <v>0.41</v>
      </c>
      <c r="J20" s="174">
        <v>0.318</v>
      </c>
      <c r="K20" s="174">
        <v>0.318</v>
      </c>
      <c r="L20" s="176"/>
      <c r="M20" s="176" t="s">
        <v>691</v>
      </c>
      <c r="O20" s="189">
        <v>44.0411</v>
      </c>
      <c r="P20" s="190">
        <v>1.0035000000000001</v>
      </c>
      <c r="R20" s="628" t="s">
        <v>1089</v>
      </c>
      <c r="V20" s="131">
        <v>4.97</v>
      </c>
      <c r="W20" s="119">
        <v>0.81599999999999995</v>
      </c>
    </row>
    <row r="21" spans="2:24">
      <c r="B21" s="201" t="s">
        <v>692</v>
      </c>
      <c r="C21" s="42"/>
      <c r="D21" s="177">
        <v>0.44900000000000001</v>
      </c>
      <c r="E21" s="177">
        <v>0.435</v>
      </c>
      <c r="F21" s="177">
        <v>0.54500000000000004</v>
      </c>
      <c r="G21" s="178">
        <v>0.53</v>
      </c>
      <c r="H21" s="179">
        <v>0.45500000000000002</v>
      </c>
      <c r="I21" s="178">
        <v>0.54500000000000004</v>
      </c>
      <c r="J21" s="178">
        <v>0.34499999999999997</v>
      </c>
      <c r="K21" s="178">
        <v>0.34499999999999997</v>
      </c>
      <c r="L21" s="176"/>
      <c r="M21" s="180" t="s">
        <v>1086</v>
      </c>
      <c r="O21" s="191">
        <v>47.292299999999997</v>
      </c>
      <c r="P21" s="192">
        <v>1.0044</v>
      </c>
      <c r="R21" s="629" t="s">
        <v>1090</v>
      </c>
      <c r="V21" s="131">
        <v>10.32</v>
      </c>
      <c r="W21" s="117">
        <v>0.82399999999999995</v>
      </c>
    </row>
    <row r="22" spans="2:24">
      <c r="B22" s="201" t="s">
        <v>693</v>
      </c>
      <c r="C22" s="42"/>
      <c r="D22" s="177">
        <v>0.626</v>
      </c>
      <c r="E22" s="177">
        <v>0.61499999999999999</v>
      </c>
      <c r="F22" s="177">
        <v>0.625</v>
      </c>
      <c r="G22" s="178">
        <v>0.62</v>
      </c>
      <c r="H22" s="179">
        <v>0.625</v>
      </c>
      <c r="I22" s="178">
        <v>0.65500000000000003</v>
      </c>
      <c r="J22" s="178">
        <v>0.38100000000000001</v>
      </c>
      <c r="K22" s="178">
        <v>0.38100000000000001</v>
      </c>
      <c r="L22" s="176"/>
      <c r="M22" s="181" t="s">
        <v>1081</v>
      </c>
      <c r="O22" s="191">
        <v>46.5</v>
      </c>
      <c r="P22" s="192">
        <v>1</v>
      </c>
      <c r="R22" s="629" t="s">
        <v>1091</v>
      </c>
      <c r="V22" s="131">
        <v>14.66</v>
      </c>
      <c r="W22" s="117">
        <v>0.82099999999999995</v>
      </c>
    </row>
    <row r="23" spans="2:24">
      <c r="B23" s="201" t="s">
        <v>694</v>
      </c>
      <c r="C23" s="42"/>
      <c r="D23" s="177">
        <v>0.77100000000000002</v>
      </c>
      <c r="E23" s="177">
        <v>0.755</v>
      </c>
      <c r="F23" s="177">
        <v>0.69499999999999995</v>
      </c>
      <c r="G23" s="178">
        <v>0.71</v>
      </c>
      <c r="H23" s="179">
        <v>0.76500000000000001</v>
      </c>
      <c r="I23" s="178">
        <v>0.754</v>
      </c>
      <c r="J23" s="178">
        <v>0.41699999999999998</v>
      </c>
      <c r="K23" s="178">
        <v>0.41699999999999998</v>
      </c>
      <c r="L23" s="176"/>
      <c r="M23" s="181" t="s">
        <v>695</v>
      </c>
      <c r="O23" s="191">
        <v>47.4</v>
      </c>
      <c r="P23" s="192">
        <v>1</v>
      </c>
      <c r="R23" s="629" t="s">
        <v>841</v>
      </c>
      <c r="V23" s="131">
        <v>19.8</v>
      </c>
      <c r="W23" s="117">
        <v>0.82199999999999995</v>
      </c>
    </row>
    <row r="24" spans="2:24">
      <c r="B24" s="201" t="s">
        <v>1242</v>
      </c>
      <c r="C24" s="42"/>
      <c r="D24" s="177">
        <v>0.94199999999999995</v>
      </c>
      <c r="E24" s="177">
        <v>0.91500000000000004</v>
      </c>
      <c r="F24" s="177">
        <v>0.77500000000000002</v>
      </c>
      <c r="G24" s="178">
        <v>0.78</v>
      </c>
      <c r="H24" s="179">
        <v>0.93</v>
      </c>
      <c r="I24" s="178">
        <v>0.85</v>
      </c>
      <c r="J24" s="178">
        <v>0.45700000000000002</v>
      </c>
      <c r="K24" s="178">
        <v>0.45700000000000002</v>
      </c>
      <c r="L24" s="176"/>
      <c r="M24" s="181" t="s">
        <v>696</v>
      </c>
      <c r="O24" s="191">
        <v>47.3</v>
      </c>
      <c r="P24" s="192">
        <v>1</v>
      </c>
      <c r="R24" s="629" t="s">
        <v>1087</v>
      </c>
      <c r="V24" s="131">
        <v>25.07</v>
      </c>
      <c r="W24" s="117">
        <v>0.82499999999999996</v>
      </c>
    </row>
    <row r="25" spans="2:24" ht="17.25" thickBot="1">
      <c r="B25" s="201" t="s">
        <v>1241</v>
      </c>
      <c r="C25" s="42"/>
      <c r="D25" s="182">
        <v>1.2490000000000001</v>
      </c>
      <c r="E25" s="177">
        <v>1.085</v>
      </c>
      <c r="F25" s="177">
        <v>0.93500000000000005</v>
      </c>
      <c r="G25" s="178">
        <v>0.94</v>
      </c>
      <c r="H25" s="179">
        <v>1.085</v>
      </c>
      <c r="I25" s="178">
        <v>0.95</v>
      </c>
      <c r="J25" s="178">
        <v>0.5</v>
      </c>
      <c r="K25" s="178">
        <v>0.5</v>
      </c>
      <c r="L25" s="176"/>
      <c r="M25" s="181" t="s">
        <v>698</v>
      </c>
      <c r="O25" s="191">
        <v>46.3</v>
      </c>
      <c r="P25" s="192">
        <v>1</v>
      </c>
      <c r="R25" s="629" t="s">
        <v>1092</v>
      </c>
      <c r="V25" s="131">
        <v>30.2</v>
      </c>
      <c r="W25" s="117">
        <v>0.82699999999999996</v>
      </c>
    </row>
    <row r="26" spans="2:24" ht="17.25" customHeight="1" thickBot="1">
      <c r="B26" s="201" t="s">
        <v>697</v>
      </c>
      <c r="C26" s="42"/>
      <c r="D26" s="42"/>
      <c r="E26" s="182">
        <v>1.2450000000000001</v>
      </c>
      <c r="F26" s="182">
        <v>1.2749999999999999</v>
      </c>
      <c r="G26" s="183">
        <v>1.26</v>
      </c>
      <c r="H26" s="184">
        <v>1.2649999999999999</v>
      </c>
      <c r="I26" s="178">
        <v>1.2350000000000001</v>
      </c>
      <c r="J26" s="178">
        <v>0.54600000000000004</v>
      </c>
      <c r="K26" s="870" t="s">
        <v>700</v>
      </c>
      <c r="L26" s="176"/>
      <c r="M26" s="181" t="s">
        <v>701</v>
      </c>
      <c r="O26" s="193">
        <v>49.8</v>
      </c>
      <c r="P26" s="194">
        <v>1</v>
      </c>
      <c r="R26" s="629" t="s">
        <v>1184</v>
      </c>
      <c r="V26" s="131">
        <v>34.590000000000003</v>
      </c>
      <c r="W26" s="117">
        <v>0.83</v>
      </c>
    </row>
    <row r="27" spans="2:24" ht="17.25" thickBot="1">
      <c r="B27" s="202" t="s">
        <v>699</v>
      </c>
      <c r="G27" s="176"/>
      <c r="H27" s="176"/>
      <c r="I27" s="874"/>
      <c r="J27" s="178">
        <v>0.59199999999999997</v>
      </c>
      <c r="K27" s="871"/>
      <c r="L27" s="176"/>
      <c r="M27" s="181" t="s">
        <v>702</v>
      </c>
      <c r="R27" s="629" t="s">
        <v>1185</v>
      </c>
      <c r="V27" s="132"/>
      <c r="W27" s="124"/>
    </row>
    <row r="28" spans="2:24">
      <c r="I28" s="875"/>
      <c r="J28" s="178">
        <v>0.67100000000000004</v>
      </c>
      <c r="K28" s="871"/>
      <c r="L28" s="176"/>
      <c r="M28" s="181" t="s">
        <v>703</v>
      </c>
      <c r="R28" s="629" t="s">
        <v>1191</v>
      </c>
      <c r="V28" s="1281" t="s">
        <v>724</v>
      </c>
      <c r="W28" s="1281"/>
    </row>
    <row r="29" spans="2:24">
      <c r="I29" s="875"/>
      <c r="J29" s="178">
        <v>0.76200000000000001</v>
      </c>
      <c r="K29" s="871"/>
      <c r="L29" s="176"/>
      <c r="M29" s="181" t="s">
        <v>704</v>
      </c>
      <c r="R29" s="629" t="s">
        <v>1225</v>
      </c>
    </row>
    <row r="30" spans="2:24">
      <c r="I30" s="875"/>
      <c r="J30" s="178">
        <v>0.86899999999999999</v>
      </c>
      <c r="K30" s="871"/>
      <c r="L30" s="176"/>
      <c r="M30" s="181" t="s">
        <v>705</v>
      </c>
      <c r="R30" s="629"/>
    </row>
    <row r="31" spans="2:24" ht="17.25" thickBot="1">
      <c r="I31" s="875"/>
      <c r="J31" s="183">
        <v>0.99099999999999999</v>
      </c>
      <c r="K31" s="872"/>
      <c r="L31" s="176"/>
      <c r="M31" s="181" t="s">
        <v>706</v>
      </c>
      <c r="R31" s="629" t="s">
        <v>1093</v>
      </c>
    </row>
    <row r="32" spans="2:24">
      <c r="M32" s="181" t="s">
        <v>707</v>
      </c>
      <c r="R32" s="629" t="s">
        <v>1094</v>
      </c>
    </row>
    <row r="33" spans="2:18">
      <c r="M33" s="181" t="s">
        <v>708</v>
      </c>
      <c r="R33" s="629"/>
    </row>
    <row r="34" spans="2:18">
      <c r="M34" s="181" t="s">
        <v>709</v>
      </c>
    </row>
    <row r="35" spans="2:18">
      <c r="M35" s="181" t="s">
        <v>710</v>
      </c>
    </row>
    <row r="36" spans="2:18" ht="17.25" thickBot="1">
      <c r="B36" t="s">
        <v>711</v>
      </c>
      <c r="M36" s="181" t="s">
        <v>712</v>
      </c>
    </row>
    <row r="37" spans="2:18" ht="17.25" thickBot="1">
      <c r="G37" s="1282" t="s">
        <v>728</v>
      </c>
      <c r="H37" s="1283"/>
      <c r="M37" s="181" t="s">
        <v>713</v>
      </c>
    </row>
    <row r="38" spans="2:18" ht="17.25" thickBot="1">
      <c r="B38" s="185">
        <v>0</v>
      </c>
      <c r="C38" s="186">
        <v>0.81499999999999995</v>
      </c>
      <c r="D38" s="187">
        <v>0</v>
      </c>
      <c r="E38" s="186">
        <v>0.81399999999999995</v>
      </c>
      <c r="G38" s="210">
        <v>44.0411</v>
      </c>
      <c r="H38" s="211" t="s">
        <v>729</v>
      </c>
      <c r="M38" s="188" t="s">
        <v>714</v>
      </c>
    </row>
    <row r="39" spans="2:18">
      <c r="B39" s="164">
        <v>4.9400000000000004</v>
      </c>
      <c r="C39" s="165">
        <v>0.82599999999999996</v>
      </c>
      <c r="D39" s="164">
        <v>4.95</v>
      </c>
      <c r="E39" s="165">
        <v>0.81399999999999995</v>
      </c>
      <c r="G39" s="210">
        <v>47.292299999999997</v>
      </c>
      <c r="H39" s="211" t="s">
        <v>729</v>
      </c>
    </row>
    <row r="40" spans="2:18">
      <c r="B40" s="164">
        <v>10.4</v>
      </c>
      <c r="C40" s="165">
        <v>0.82599999999999996</v>
      </c>
      <c r="D40" s="164">
        <v>10.39</v>
      </c>
      <c r="E40" s="165">
        <v>0.82</v>
      </c>
      <c r="G40" s="210">
        <v>46.5</v>
      </c>
      <c r="H40" s="211" t="s">
        <v>730</v>
      </c>
      <c r="I40" s="41"/>
    </row>
    <row r="41" spans="2:18">
      <c r="B41" s="164">
        <v>14.62</v>
      </c>
      <c r="C41" s="165">
        <v>0.82599999999999996</v>
      </c>
      <c r="D41" s="164">
        <v>14.67</v>
      </c>
      <c r="E41" s="165">
        <v>0.81899999999999995</v>
      </c>
      <c r="G41" s="210">
        <v>47.4</v>
      </c>
      <c r="H41" s="211" t="s">
        <v>730</v>
      </c>
      <c r="I41" s="41"/>
    </row>
    <row r="42" spans="2:18">
      <c r="B42" s="164">
        <v>19.87</v>
      </c>
      <c r="C42" s="165">
        <v>0.82499999999999996</v>
      </c>
      <c r="D42" s="164">
        <v>19.89</v>
      </c>
      <c r="E42" s="165">
        <v>0.81799999999999995</v>
      </c>
      <c r="G42" s="210">
        <v>47.3</v>
      </c>
      <c r="H42" s="211" t="s">
        <v>729</v>
      </c>
      <c r="I42" s="41"/>
    </row>
    <row r="43" spans="2:18">
      <c r="B43" s="164">
        <v>25.03</v>
      </c>
      <c r="C43" s="165">
        <v>0.83</v>
      </c>
      <c r="D43" s="164">
        <v>25.03</v>
      </c>
      <c r="E43" s="165">
        <v>0.81899999999999995</v>
      </c>
      <c r="G43" s="210">
        <v>46.3</v>
      </c>
      <c r="H43" s="211" t="s">
        <v>729</v>
      </c>
      <c r="I43" s="41"/>
    </row>
    <row r="44" spans="2:18" ht="17.25" thickBot="1">
      <c r="B44" s="164">
        <v>30.22</v>
      </c>
      <c r="C44" s="165">
        <v>0.82599999999999996</v>
      </c>
      <c r="D44" s="164">
        <v>30.15</v>
      </c>
      <c r="E44" s="165">
        <v>0.82</v>
      </c>
      <c r="G44" s="212">
        <v>49.8</v>
      </c>
      <c r="H44" s="213" t="s">
        <v>730</v>
      </c>
      <c r="I44" s="41"/>
    </row>
    <row r="45" spans="2:18">
      <c r="B45" s="129">
        <v>34.43</v>
      </c>
      <c r="C45" s="116">
        <v>0.83399999999999996</v>
      </c>
      <c r="D45" s="129">
        <v>34.53</v>
      </c>
      <c r="E45" s="116">
        <v>0.81899999999999995</v>
      </c>
      <c r="I45" s="41"/>
    </row>
    <row r="46" spans="2:18" ht="17.25" thickBot="1">
      <c r="B46" s="130"/>
      <c r="C46" s="171"/>
      <c r="D46" s="130"/>
      <c r="E46" s="171"/>
      <c r="I46" s="41"/>
    </row>
    <row r="47" spans="2:18">
      <c r="B47" s="1281" t="s">
        <v>676</v>
      </c>
      <c r="C47" s="1281"/>
      <c r="D47" s="1281" t="s">
        <v>715</v>
      </c>
      <c r="E47" s="1281"/>
    </row>
    <row r="54" spans="4:8">
      <c r="D54" s="48"/>
      <c r="E54" s="144" t="s">
        <v>629</v>
      </c>
      <c r="F54" s="144" t="s">
        <v>629</v>
      </c>
      <c r="H54" s="574" t="s">
        <v>778</v>
      </c>
    </row>
    <row r="55" spans="4:8">
      <c r="D55" s="48"/>
      <c r="E55" s="144" t="s">
        <v>630</v>
      </c>
      <c r="F55" s="144" t="s">
        <v>630</v>
      </c>
      <c r="H55" s="574" t="s">
        <v>524</v>
      </c>
    </row>
    <row r="56" spans="4:8">
      <c r="E56" t="s">
        <v>1138</v>
      </c>
      <c r="F56" t="s">
        <v>1138</v>
      </c>
      <c r="H56" s="574" t="s">
        <v>611</v>
      </c>
    </row>
    <row r="57" spans="4:8">
      <c r="H57" s="574" t="s">
        <v>610</v>
      </c>
    </row>
    <row r="58" spans="4:8">
      <c r="H58" s="574" t="s">
        <v>1234</v>
      </c>
    </row>
    <row r="59" spans="4:8">
      <c r="H59" s="574" t="s">
        <v>1235</v>
      </c>
    </row>
    <row r="60" spans="4:8">
      <c r="H60" s="574" t="s">
        <v>1261</v>
      </c>
    </row>
  </sheetData>
  <mergeCells count="34">
    <mergeCell ref="V18:W18"/>
    <mergeCell ref="V28:W28"/>
    <mergeCell ref="B47:C47"/>
    <mergeCell ref="D47:E47"/>
    <mergeCell ref="G37:H37"/>
    <mergeCell ref="P5:Q5"/>
    <mergeCell ref="R5:S5"/>
    <mergeCell ref="V5:W5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V15:W15"/>
    <mergeCell ref="T5:U5"/>
    <mergeCell ref="T15:U15"/>
    <mergeCell ref="N3:O3"/>
    <mergeCell ref="B5:C5"/>
    <mergeCell ref="D5:E5"/>
    <mergeCell ref="F5:G5"/>
    <mergeCell ref="H5:I5"/>
    <mergeCell ref="J5:K5"/>
    <mergeCell ref="L5:M5"/>
    <mergeCell ref="N5:O5"/>
    <mergeCell ref="B3:C3"/>
    <mergeCell ref="D3:E3"/>
    <mergeCell ref="F3:G3"/>
    <mergeCell ref="H3:I3"/>
    <mergeCell ref="J3:K3"/>
    <mergeCell ref="L3:M3"/>
  </mergeCells>
  <phoneticPr fontId="2" type="noConversion"/>
  <dataValidations count="1">
    <dataValidation type="custom" allowBlank="1" showInputMessage="1" showErrorMessage="1" sqref="P20" xr:uid="{00000000-0002-0000-0400-000000000000}">
      <formula1>1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BH115"/>
  <sheetViews>
    <sheetView view="pageBreakPreview" topLeftCell="A8" zoomScaleNormal="100" zoomScaleSheetLayoutView="100" workbookViewId="0">
      <selection activeCell="M29" sqref="M29:U30"/>
    </sheetView>
  </sheetViews>
  <sheetFormatPr defaultColWidth="9" defaultRowHeight="13.5"/>
  <cols>
    <col min="1" max="5" width="3.125" style="29" customWidth="1"/>
    <col min="6" max="6" width="9.875" style="29" bestFit="1" customWidth="1"/>
    <col min="7" max="7" width="3.25" style="66" customWidth="1"/>
    <col min="8" max="8" width="12.25" style="66" customWidth="1"/>
    <col min="9" max="10" width="3.25" style="66" customWidth="1"/>
    <col min="11" max="11" width="3.125" style="29" customWidth="1"/>
    <col min="12" max="12" width="3.25" style="29" customWidth="1"/>
    <col min="13" max="13" width="4.625" style="29" customWidth="1"/>
    <col min="14" max="14" width="2.125" style="29" customWidth="1"/>
    <col min="15" max="15" width="2.75" style="29" customWidth="1"/>
    <col min="16" max="16" width="3.5" style="29" customWidth="1"/>
    <col min="17" max="19" width="3.125" style="29" customWidth="1"/>
    <col min="20" max="20" width="4.125" style="29" customWidth="1"/>
    <col min="21" max="21" width="3.625" style="29" customWidth="1"/>
    <col min="22" max="24" width="3.125" style="29" customWidth="1"/>
    <col min="25" max="25" width="2.5" style="29" customWidth="1"/>
    <col min="26" max="26" width="3.25" style="29" customWidth="1"/>
    <col min="27" max="31" width="3.125" style="29" customWidth="1"/>
    <col min="32" max="32" width="3" style="29" customWidth="1"/>
    <col min="33" max="33" width="13" style="29" customWidth="1"/>
    <col min="34" max="34" width="7.875" style="29" bestFit="1" customWidth="1"/>
    <col min="35" max="35" width="13" style="103" bestFit="1" customWidth="1"/>
    <col min="36" max="36" width="3.125" style="29" customWidth="1"/>
    <col min="37" max="37" width="11.25" style="29" hidden="1" customWidth="1"/>
    <col min="38" max="38" width="3.125" style="248" customWidth="1"/>
    <col min="39" max="39" width="6.25" style="29" bestFit="1" customWidth="1"/>
    <col min="40" max="40" width="3.125" style="29" customWidth="1"/>
    <col min="41" max="41" width="16.875" style="29" bestFit="1" customWidth="1"/>
    <col min="42" max="42" width="8" style="29" customWidth="1"/>
    <col min="43" max="43" width="11.375" style="29" bestFit="1" customWidth="1"/>
    <col min="44" max="44" width="8" style="29" bestFit="1" customWidth="1"/>
    <col min="45" max="45" width="13.125" style="29" bestFit="1" customWidth="1"/>
    <col min="46" max="100" width="3.125" style="29" customWidth="1"/>
    <col min="101" max="16384" width="9" style="29"/>
  </cols>
  <sheetData>
    <row r="1" spans="1:60" ht="16.5" customHeight="1">
      <c r="A1" s="1358" t="s">
        <v>321</v>
      </c>
      <c r="B1" s="1359"/>
      <c r="C1" s="1359"/>
      <c r="D1" s="1360" t="str">
        <f>IF(COUNT('먼지측정 사전 Data'!H72)=0,"",'먼지측정 사전 Data'!A95)</f>
        <v/>
      </c>
      <c r="E1" s="1361"/>
      <c r="F1" s="1361"/>
      <c r="G1" s="1361"/>
      <c r="H1" s="1363" t="s">
        <v>523</v>
      </c>
      <c r="I1" s="1363"/>
      <c r="J1" s="1363"/>
      <c r="K1" s="1363"/>
      <c r="L1" s="1363"/>
      <c r="M1" s="1363"/>
      <c r="N1" s="1363"/>
      <c r="O1" s="1363"/>
      <c r="P1" s="1363"/>
      <c r="Q1" s="1363"/>
      <c r="R1" s="1363"/>
      <c r="S1" s="1363"/>
      <c r="T1" s="1363"/>
      <c r="U1" s="1363"/>
      <c r="V1" s="1363"/>
      <c r="W1" s="1314" t="s">
        <v>321</v>
      </c>
      <c r="X1" s="1314"/>
      <c r="Y1" s="1315"/>
      <c r="Z1" s="1435">
        <f>'먼지측정 사전 Data'!N5</f>
        <v>0</v>
      </c>
      <c r="AA1" s="1436"/>
      <c r="AB1" s="1436"/>
      <c r="AC1" s="1436"/>
      <c r="AD1" s="1436"/>
      <c r="AE1" s="1437"/>
      <c r="AF1" s="77"/>
    </row>
    <row r="2" spans="1:60" ht="16.5" customHeight="1">
      <c r="A2" s="1365" t="s">
        <v>444</v>
      </c>
      <c r="B2" s="1366"/>
      <c r="C2" s="1366"/>
      <c r="D2" s="1362"/>
      <c r="E2" s="1362"/>
      <c r="F2" s="1362"/>
      <c r="G2" s="1362"/>
      <c r="H2" s="1364"/>
      <c r="I2" s="1364"/>
      <c r="J2" s="1364"/>
      <c r="K2" s="1364"/>
      <c r="L2" s="1364"/>
      <c r="M2" s="1364"/>
      <c r="N2" s="1364"/>
      <c r="O2" s="1364"/>
      <c r="P2" s="1364"/>
      <c r="Q2" s="1364"/>
      <c r="R2" s="1364"/>
      <c r="S2" s="1364"/>
      <c r="T2" s="1364"/>
      <c r="U2" s="1364"/>
      <c r="V2" s="1364"/>
      <c r="W2" s="1342" t="s">
        <v>322</v>
      </c>
      <c r="X2" s="1342"/>
      <c r="Y2" s="1342"/>
      <c r="Z2" s="1438"/>
      <c r="AA2" s="1438"/>
      <c r="AB2" s="1438"/>
      <c r="AC2" s="1438"/>
      <c r="AD2" s="1438"/>
      <c r="AE2" s="1439"/>
      <c r="AF2" s="77"/>
    </row>
    <row r="3" spans="1:60" ht="18.75" customHeight="1">
      <c r="A3" s="1373" t="s">
        <v>842</v>
      </c>
      <c r="B3" s="1374"/>
      <c r="C3" s="1374"/>
      <c r="D3" s="1374"/>
      <c r="E3" s="1374"/>
      <c r="F3" s="1374"/>
      <c r="G3" s="1374"/>
      <c r="H3" s="1374"/>
      <c r="I3" s="1374"/>
      <c r="J3" s="1374"/>
      <c r="K3" s="1374"/>
      <c r="L3" s="1374"/>
      <c r="M3" s="1374"/>
      <c r="N3" s="1374"/>
      <c r="O3" s="1374"/>
      <c r="P3" s="1389" t="s">
        <v>323</v>
      </c>
      <c r="Q3" s="1389"/>
      <c r="R3" s="1389"/>
      <c r="S3" s="1389"/>
      <c r="T3" s="1389"/>
      <c r="U3" s="1389"/>
      <c r="V3" s="1389"/>
      <c r="W3" s="1389"/>
      <c r="X3" s="1389"/>
      <c r="Y3" s="1389"/>
      <c r="Z3" s="1389"/>
      <c r="AA3" s="1389"/>
      <c r="AB3" s="1389"/>
      <c r="AC3" s="1389"/>
      <c r="AD3" s="1389"/>
      <c r="AE3" s="1443"/>
      <c r="AF3" s="77"/>
    </row>
    <row r="4" spans="1:60" ht="16.5" customHeight="1" thickBot="1">
      <c r="A4" s="1378" t="s">
        <v>843</v>
      </c>
      <c r="B4" s="1379"/>
      <c r="C4" s="1379"/>
      <c r="D4" s="1379"/>
      <c r="E4" s="1386"/>
      <c r="F4" s="1387"/>
      <c r="G4" s="1387"/>
      <c r="H4" s="1387"/>
      <c r="I4" s="1387"/>
      <c r="J4" s="1387"/>
      <c r="K4" s="1387"/>
      <c r="L4" s="1387"/>
      <c r="M4" s="1387"/>
      <c r="N4" s="1387"/>
      <c r="O4" s="1388"/>
      <c r="P4" s="1362" t="s">
        <v>324</v>
      </c>
      <c r="Q4" s="1362"/>
      <c r="R4" s="1362"/>
      <c r="S4" s="1362"/>
      <c r="T4" s="1362"/>
      <c r="U4" s="1316" t="s">
        <v>821</v>
      </c>
      <c r="V4" s="1316"/>
      <c r="W4" s="1316"/>
      <c r="X4" s="1316"/>
      <c r="Y4" s="1316"/>
      <c r="Z4" s="1316"/>
      <c r="AA4" s="1316"/>
      <c r="AB4" s="1316"/>
      <c r="AC4" s="1316"/>
      <c r="AD4" s="1316"/>
      <c r="AE4" s="1317"/>
      <c r="AF4" s="78"/>
    </row>
    <row r="5" spans="1:60" ht="16.5" customHeight="1">
      <c r="A5" s="1378" t="s">
        <v>936</v>
      </c>
      <c r="B5" s="1379"/>
      <c r="C5" s="1379"/>
      <c r="D5" s="1379"/>
      <c r="E5" s="1380"/>
      <c r="F5" s="1381"/>
      <c r="G5" s="1381"/>
      <c r="H5" s="1381"/>
      <c r="I5" s="1381"/>
      <c r="J5" s="1381"/>
      <c r="K5" s="1381"/>
      <c r="L5" s="1381"/>
      <c r="M5" s="1381"/>
      <c r="N5" s="1381"/>
      <c r="O5" s="1382"/>
      <c r="P5" s="1362" t="s">
        <v>325</v>
      </c>
      <c r="Q5" s="1362"/>
      <c r="R5" s="1362"/>
      <c r="S5" s="1362"/>
      <c r="T5" s="1362"/>
      <c r="U5" s="1383" t="s">
        <v>1069</v>
      </c>
      <c r="V5" s="1383"/>
      <c r="W5" s="1383"/>
      <c r="X5" s="1383"/>
      <c r="Y5" s="1383"/>
      <c r="Z5" s="1383"/>
      <c r="AA5" s="1383"/>
      <c r="AB5" s="1383"/>
      <c r="AC5" s="1383"/>
      <c r="AD5" s="1383"/>
      <c r="AE5" s="1384"/>
      <c r="AF5" s="79"/>
      <c r="AG5" s="98" t="s">
        <v>559</v>
      </c>
    </row>
    <row r="6" spans="1:60" ht="16.5" customHeight="1">
      <c r="A6" s="1378" t="s">
        <v>937</v>
      </c>
      <c r="B6" s="1379"/>
      <c r="C6" s="1379"/>
      <c r="D6" s="1379"/>
      <c r="E6" s="1318"/>
      <c r="F6" s="1319"/>
      <c r="G6" s="1319"/>
      <c r="H6" s="1320"/>
      <c r="I6" s="1440" t="s">
        <v>1272</v>
      </c>
      <c r="J6" s="1441"/>
      <c r="K6" s="1442"/>
      <c r="L6" s="1318"/>
      <c r="M6" s="1319"/>
      <c r="N6" s="1319"/>
      <c r="O6" s="1320"/>
      <c r="P6" s="1362" t="s">
        <v>326</v>
      </c>
      <c r="Q6" s="1362"/>
      <c r="R6" s="1362"/>
      <c r="S6" s="1362"/>
      <c r="T6" s="1362"/>
      <c r="U6" s="1316" t="s">
        <v>829</v>
      </c>
      <c r="V6" s="1316"/>
      <c r="W6" s="1316"/>
      <c r="X6" s="1316"/>
      <c r="Y6" s="1316"/>
      <c r="Z6" s="1316"/>
      <c r="AA6" s="1316"/>
      <c r="AB6" s="1316"/>
      <c r="AC6" s="1316"/>
      <c r="AD6" s="1316"/>
      <c r="AE6" s="1317"/>
      <c r="AF6" s="78"/>
      <c r="AG6" s="99" t="s">
        <v>560</v>
      </c>
    </row>
    <row r="7" spans="1:60" ht="16.5" customHeight="1">
      <c r="A7" s="1343" t="s">
        <v>938</v>
      </c>
      <c r="B7" s="1344"/>
      <c r="C7" s="1344"/>
      <c r="D7" s="1345"/>
      <c r="E7" s="1346" t="s">
        <v>1273</v>
      </c>
      <c r="F7" s="1347"/>
      <c r="G7" s="1347"/>
      <c r="H7" s="1348"/>
      <c r="I7" s="522"/>
      <c r="J7" s="522" t="s">
        <v>1274</v>
      </c>
      <c r="K7" s="57"/>
      <c r="L7" s="1346" t="s">
        <v>1275</v>
      </c>
      <c r="M7" s="1347"/>
      <c r="N7" s="1347"/>
      <c r="O7" s="1348"/>
      <c r="P7" s="1393" t="s">
        <v>327</v>
      </c>
      <c r="Q7" s="1394"/>
      <c r="R7" s="1394"/>
      <c r="S7" s="1394"/>
      <c r="T7" s="1395"/>
      <c r="U7" s="1375">
        <f>'먼지측정 사전 Data'!H4</f>
        <v>0</v>
      </c>
      <c r="V7" s="1376"/>
      <c r="W7" s="1376"/>
      <c r="X7" s="1445">
        <f>'먼지측정 사전 Data'!K4</f>
        <v>0</v>
      </c>
      <c r="Y7" s="1445"/>
      <c r="Z7" s="1445"/>
      <c r="AA7" s="46"/>
      <c r="AB7" s="46"/>
      <c r="AC7" s="46"/>
      <c r="AD7" s="46"/>
      <c r="AE7" s="47"/>
      <c r="AF7" s="32"/>
      <c r="AG7" s="99" t="s">
        <v>561</v>
      </c>
    </row>
    <row r="8" spans="1:60" ht="15" customHeight="1" thickBot="1">
      <c r="A8" s="1396" t="s">
        <v>844</v>
      </c>
      <c r="B8" s="1397"/>
      <c r="C8" s="1397"/>
      <c r="D8" s="1398"/>
      <c r="E8" s="1349"/>
      <c r="F8" s="1350"/>
      <c r="G8" s="1350"/>
      <c r="H8" s="1351"/>
      <c r="I8" s="523"/>
      <c r="J8" s="523" t="s">
        <v>1276</v>
      </c>
      <c r="K8" s="58"/>
      <c r="L8" s="1349"/>
      <c r="M8" s="1350"/>
      <c r="N8" s="1350"/>
      <c r="O8" s="1351"/>
      <c r="P8" s="1393" t="s">
        <v>328</v>
      </c>
      <c r="Q8" s="1394"/>
      <c r="R8" s="1394"/>
      <c r="S8" s="1394"/>
      <c r="T8" s="1395"/>
      <c r="U8" s="1375" t="str">
        <f>'먼지측정 사전 Data'!H5</f>
        <v>2026-02-06 ~ 1900-01-00</v>
      </c>
      <c r="V8" s="1376"/>
      <c r="W8" s="1376"/>
      <c r="X8" s="1376"/>
      <c r="Y8" s="1376"/>
      <c r="Z8" s="1376"/>
      <c r="AA8" s="1376"/>
      <c r="AB8" s="1376"/>
      <c r="AC8" s="1376"/>
      <c r="AD8" s="1376"/>
      <c r="AE8" s="1377"/>
      <c r="AF8" s="78"/>
      <c r="AG8" s="100" t="s">
        <v>562</v>
      </c>
    </row>
    <row r="9" spans="1:60" ht="15" customHeight="1">
      <c r="A9" s="1370" t="s">
        <v>466</v>
      </c>
      <c r="B9" s="1371"/>
      <c r="C9" s="1371"/>
      <c r="D9" s="1372"/>
      <c r="E9" s="1328"/>
      <c r="F9" s="1329"/>
      <c r="G9" s="1329"/>
      <c r="H9" s="1330"/>
      <c r="I9" s="1409" t="s">
        <v>1278</v>
      </c>
      <c r="J9" s="1410"/>
      <c r="K9" s="1411"/>
      <c r="L9" s="1325" t="s">
        <v>1279</v>
      </c>
      <c r="M9" s="1326"/>
      <c r="N9" s="1326"/>
      <c r="O9" s="1327"/>
      <c r="P9" s="1337" t="s">
        <v>329</v>
      </c>
      <c r="Q9" s="1332"/>
      <c r="R9" s="1332"/>
      <c r="S9" s="1332"/>
      <c r="T9" s="1333"/>
      <c r="U9" s="1403" t="s">
        <v>950</v>
      </c>
      <c r="V9" s="1404"/>
      <c r="W9" s="1404"/>
      <c r="X9" s="1404"/>
      <c r="Y9" s="1404"/>
      <c r="Z9" s="1404"/>
      <c r="AA9" s="1404"/>
      <c r="AB9" s="1404"/>
      <c r="AC9" s="1404"/>
      <c r="AD9" s="1404"/>
      <c r="AE9" s="1405"/>
      <c r="AF9" s="78"/>
      <c r="AG9" s="66"/>
    </row>
    <row r="10" spans="1:60" ht="15" customHeight="1">
      <c r="A10" s="1370" t="s">
        <v>845</v>
      </c>
      <c r="B10" s="1371"/>
      <c r="C10" s="1371"/>
      <c r="D10" s="1372"/>
      <c r="E10" s="1328"/>
      <c r="F10" s="1329"/>
      <c r="G10" s="923" t="s">
        <v>1280</v>
      </c>
      <c r="H10" s="923" t="s">
        <v>1281</v>
      </c>
      <c r="I10" s="1367" t="s">
        <v>1282</v>
      </c>
      <c r="J10" s="1368"/>
      <c r="K10" s="1369"/>
      <c r="L10" s="1385"/>
      <c r="M10" s="1323"/>
      <c r="N10" s="1323"/>
      <c r="O10" s="1324"/>
      <c r="P10" s="1338" t="s">
        <v>330</v>
      </c>
      <c r="Q10" s="1335"/>
      <c r="R10" s="1335"/>
      <c r="S10" s="1335"/>
      <c r="T10" s="1336"/>
      <c r="U10" s="1406"/>
      <c r="V10" s="1407"/>
      <c r="W10" s="1407"/>
      <c r="X10" s="1407"/>
      <c r="Y10" s="1407"/>
      <c r="Z10" s="1407"/>
      <c r="AA10" s="1407"/>
      <c r="AB10" s="1407"/>
      <c r="AC10" s="1407"/>
      <c r="AD10" s="1407"/>
      <c r="AE10" s="1408"/>
      <c r="AF10" s="78"/>
    </row>
    <row r="11" spans="1:60" ht="15" customHeight="1">
      <c r="A11" s="1378" t="s">
        <v>846</v>
      </c>
      <c r="B11" s="1379"/>
      <c r="C11" s="1379"/>
      <c r="D11" s="1379"/>
      <c r="E11" s="1328"/>
      <c r="F11" s="1329"/>
      <c r="G11" s="923" t="s">
        <v>1280</v>
      </c>
      <c r="H11" s="955"/>
      <c r="I11" s="1367" t="s">
        <v>1283</v>
      </c>
      <c r="J11" s="1368"/>
      <c r="K11" s="1369"/>
      <c r="L11" s="1321" t="s">
        <v>536</v>
      </c>
      <c r="M11" s="1322"/>
      <c r="N11" s="1323" t="s">
        <v>1284</v>
      </c>
      <c r="O11" s="1324"/>
      <c r="P11" s="1337" t="s">
        <v>331</v>
      </c>
      <c r="Q11" s="1332"/>
      <c r="R11" s="1332"/>
      <c r="S11" s="1332"/>
      <c r="T11" s="1333"/>
      <c r="U11" s="1415" t="str">
        <f>TRIM(_xlfn.TEXTJOIN(" ", TRUE,
    IF(TYPE(F23)=1, C23, ""),
    IF(TYPE(F24)=1, C24, ""),
    IF(TYPE(F25)=1, C25, ""),
    IF(TYPE(F26)=1, C26, ""),
    IF(TYPE(F27)=1, C27, ""),
    IF(TYPE(F28)=1, C28, ""),
    IF(TYPE(F29)=1, C29, ""),
    IF(TYPE(F30)=1, C30, ""),
    IF(TYPE(F31)=1, C31, ""),
    IF(TYPE(F32)=1, C32, ""),
    IF(TYPE(F33)=1, C33, ""),
    IF(TYPE(F34)=1, C34, ""),
    IF(TYPE(F35)=1, C35, ""),
    IF(TYPE(F36)=1, C36, ""),
    IF(TYPE(F37)=1, C37, ""),
    IF(TYPE(F38)=1, C38, ""),
    IF(TYPE(F39)=1, C39, ""),
    IF(TYPE(F40)=1, C40, ""),
    IF(TYPE(F41)=1, C41, ""),
    IF(TYPE(F42)=1, C42, ""),
    IF(TYPE(F43)=1, C43, ""),
    IF(TYPE(F44)=1, C44, ""),
    IF(TYPE(F45)=1, C45, ""),
    IF(TYPE(F46)=1, C46, ""),
    IF(TYPE(F47)=1, C47, ""),
    IF(TYPE(F48)=1, C48, ""),
    IF(TYPE(F49)=1, C49, ""),
    IF(TYPE(F50)=1, C50, ""),
    IF(TYPE(F51)=1, C51, ""),
    IF(TYPE(F52)=1, C52, ""),
    IF(TYPE(F53)=1, C53, ""),
    IF(TYPE(F54)=1, C54, ""),
    IF(TYPE(F55)=1, C55, ""),
    IF(TYPE(F56)=1, C56, ""),
    IF(TYPE(F57)=1, C57, ""),
    IF(TYPE(F58)=1, C58, ""),
    IF(TYPE(F59)=1, C59, ""),
    IF(TYPE(F60)=1, C60, ""),
    IF(TYPE(F61)=1, C61, ""),
    IF(TYPE(F62)=1, C62, ""),
    IF(TYPE(F63)=1, C63, ""),
    IF(TYPE(F64)=1, C64, ""),
    IF(TYPE(F65)=1, C65, ""),
    IF(TYPE(F66)=1, C66, ""),
    IF(TYPE(F67)=1, C67, ""),
    IF(TYPE(F68)=1, C68, ""),
    IF(TYPE(F69)=1, C69, ""),
    IF(TYPE(F70)=1, C70, ""),
    IF(TYPE(F71)=1, C71, ""),
    IF(TYPE(F72)=1, C72, ""),
    IF(TYPE(F73)=1, C73, ""),
    IF(TYPE(F74)=1, C74, "")
)) &amp; " (총 " &amp; COUNTIF(AL23:AL74, 1) &amp; " 항목)"</f>
        <v>THC (총 1 항목)</v>
      </c>
      <c r="V11" s="1416"/>
      <c r="W11" s="1416"/>
      <c r="X11" s="1416"/>
      <c r="Y11" s="1416"/>
      <c r="Z11" s="1416"/>
      <c r="AA11" s="1416"/>
      <c r="AB11" s="1416"/>
      <c r="AC11" s="1416"/>
      <c r="AD11" s="1416"/>
      <c r="AE11" s="1417"/>
      <c r="AF11" s="78"/>
      <c r="AM11" s="1446" t="s">
        <v>731</v>
      </c>
      <c r="AN11" s="1446"/>
      <c r="AO11" s="1446"/>
      <c r="AP11" s="1446"/>
      <c r="AQ11" s="1446"/>
      <c r="AR11" s="1446"/>
      <c r="AS11" s="1446"/>
      <c r="AT11" s="1446"/>
      <c r="AU11" s="1446"/>
      <c r="AV11" s="1446"/>
      <c r="AW11" s="1446"/>
      <c r="AX11" s="1446"/>
      <c r="AY11" s="1446"/>
      <c r="AZ11" s="1446"/>
      <c r="BA11" s="1446"/>
      <c r="BB11" s="1446"/>
      <c r="BC11" s="1446"/>
      <c r="BD11" s="1446"/>
      <c r="BE11" s="1446"/>
      <c r="BF11" s="1446"/>
      <c r="BG11" s="1446"/>
      <c r="BH11" s="1446"/>
    </row>
    <row r="12" spans="1:60" ht="32.25" customHeight="1">
      <c r="A12" s="1370" t="s">
        <v>1180</v>
      </c>
      <c r="B12" s="1371"/>
      <c r="C12" s="1371"/>
      <c r="D12" s="1372"/>
      <c r="E12" s="1385"/>
      <c r="F12" s="1323"/>
      <c r="G12" s="1323"/>
      <c r="H12" s="1323"/>
      <c r="I12" s="1323"/>
      <c r="J12" s="1323"/>
      <c r="K12" s="1323"/>
      <c r="L12" s="1323"/>
      <c r="M12" s="1323"/>
      <c r="N12" s="1323"/>
      <c r="O12" s="1324"/>
      <c r="P12" s="1412"/>
      <c r="Q12" s="1413"/>
      <c r="R12" s="1413"/>
      <c r="S12" s="1413"/>
      <c r="T12" s="1414"/>
      <c r="U12" s="1418"/>
      <c r="V12" s="1419"/>
      <c r="W12" s="1419"/>
      <c r="X12" s="1419"/>
      <c r="Y12" s="1419"/>
      <c r="Z12" s="1419"/>
      <c r="AA12" s="1419"/>
      <c r="AB12" s="1419"/>
      <c r="AC12" s="1419"/>
      <c r="AD12" s="1419"/>
      <c r="AE12" s="1420"/>
      <c r="AF12" s="78"/>
      <c r="AM12" s="1446"/>
      <c r="AN12" s="1446"/>
      <c r="AO12" s="1446"/>
      <c r="AP12" s="1446"/>
      <c r="AQ12" s="1446"/>
      <c r="AR12" s="1446"/>
      <c r="AS12" s="1446"/>
      <c r="AT12" s="1446"/>
      <c r="AU12" s="1446"/>
      <c r="AV12" s="1446"/>
      <c r="AW12" s="1446"/>
      <c r="AX12" s="1446"/>
      <c r="AY12" s="1446"/>
      <c r="AZ12" s="1446"/>
      <c r="BA12" s="1446"/>
      <c r="BB12" s="1446"/>
      <c r="BC12" s="1446"/>
      <c r="BD12" s="1446"/>
      <c r="BE12" s="1446"/>
      <c r="BF12" s="1446"/>
      <c r="BG12" s="1446"/>
      <c r="BH12" s="1446"/>
    </row>
    <row r="13" spans="1:60" ht="32.25" customHeight="1">
      <c r="A13" s="1370" t="s">
        <v>1181</v>
      </c>
      <c r="B13" s="1371"/>
      <c r="C13" s="1371"/>
      <c r="D13" s="1372"/>
      <c r="E13" s="1328"/>
      <c r="F13" s="1329"/>
      <c r="G13" s="1329"/>
      <c r="H13" s="1329"/>
      <c r="I13" s="1329"/>
      <c r="J13" s="1329"/>
      <c r="K13" s="1329"/>
      <c r="L13" s="1329"/>
      <c r="M13" s="1329"/>
      <c r="N13" s="1329"/>
      <c r="O13" s="1330"/>
      <c r="P13" s="1338"/>
      <c r="Q13" s="1335"/>
      <c r="R13" s="1335"/>
      <c r="S13" s="1335"/>
      <c r="T13" s="1336"/>
      <c r="U13" s="1421"/>
      <c r="V13" s="1422"/>
      <c r="W13" s="1422"/>
      <c r="X13" s="1422"/>
      <c r="Y13" s="1422"/>
      <c r="Z13" s="1422"/>
      <c r="AA13" s="1422"/>
      <c r="AB13" s="1422"/>
      <c r="AC13" s="1422"/>
      <c r="AD13" s="1422"/>
      <c r="AE13" s="1423"/>
      <c r="AF13" s="80"/>
      <c r="AG13" s="251" t="s">
        <v>737</v>
      </c>
      <c r="AH13" s="252"/>
      <c r="AI13" s="1447"/>
      <c r="AJ13" s="1448"/>
      <c r="AK13" s="1448"/>
      <c r="AM13" s="1446"/>
      <c r="AN13" s="1446"/>
      <c r="AO13" s="1446"/>
      <c r="AP13" s="1446"/>
      <c r="AQ13" s="1446"/>
      <c r="AR13" s="1446"/>
      <c r="AS13" s="1446"/>
      <c r="AT13" s="1446"/>
      <c r="AU13" s="1446"/>
      <c r="AV13" s="1446"/>
      <c r="AW13" s="1446"/>
      <c r="AX13" s="1446"/>
      <c r="AY13" s="1446"/>
      <c r="AZ13" s="1446"/>
      <c r="BA13" s="1446"/>
      <c r="BB13" s="1446"/>
      <c r="BC13" s="1446"/>
      <c r="BD13" s="1446"/>
      <c r="BE13" s="1446"/>
      <c r="BF13" s="1446"/>
      <c r="BG13" s="1446"/>
      <c r="BH13" s="1446"/>
    </row>
    <row r="14" spans="1:60" ht="18" customHeight="1">
      <c r="A14" s="56" t="s">
        <v>443</v>
      </c>
      <c r="B14" s="30"/>
      <c r="C14" s="30"/>
      <c r="D14" s="30"/>
      <c r="E14" s="39"/>
      <c r="F14" s="30"/>
      <c r="G14" s="90"/>
      <c r="H14" s="90"/>
      <c r="I14" s="90"/>
      <c r="J14" s="9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1"/>
      <c r="AF14" s="38"/>
      <c r="AM14" s="1446"/>
      <c r="AN14" s="1446"/>
      <c r="AO14" s="1446"/>
      <c r="AP14" s="1446"/>
      <c r="AQ14" s="1446"/>
      <c r="AR14" s="1446"/>
      <c r="AS14" s="1446"/>
      <c r="AT14" s="1446"/>
      <c r="AU14" s="1446"/>
      <c r="AV14" s="1446"/>
      <c r="AW14" s="1446"/>
      <c r="AX14" s="1446"/>
      <c r="AY14" s="1446"/>
      <c r="AZ14" s="1446"/>
      <c r="BA14" s="1446"/>
      <c r="BB14" s="1446"/>
      <c r="BC14" s="1446"/>
      <c r="BD14" s="1446"/>
      <c r="BE14" s="1446"/>
      <c r="BF14" s="1446"/>
      <c r="BG14" s="1446"/>
      <c r="BH14" s="1446"/>
    </row>
    <row r="15" spans="1:60">
      <c r="A15" s="1399" t="s">
        <v>332</v>
      </c>
      <c r="B15" s="1362"/>
      <c r="C15" s="1362"/>
      <c r="D15" s="1362"/>
      <c r="E15" s="1362" t="s">
        <v>436</v>
      </c>
      <c r="F15" s="1362"/>
      <c r="G15" s="1362"/>
      <c r="H15" s="1362"/>
      <c r="I15" s="1362" t="s">
        <v>437</v>
      </c>
      <c r="J15" s="1362"/>
      <c r="K15" s="1362"/>
      <c r="L15" s="1362"/>
      <c r="M15" s="1389" t="s">
        <v>438</v>
      </c>
      <c r="N15" s="1389"/>
      <c r="O15" s="1389"/>
      <c r="P15" s="1389"/>
      <c r="Q15" s="1362" t="s">
        <v>439</v>
      </c>
      <c r="R15" s="1362"/>
      <c r="S15" s="1362"/>
      <c r="T15" s="1362"/>
      <c r="U15" s="1362"/>
      <c r="V15" s="1362" t="s">
        <v>440</v>
      </c>
      <c r="W15" s="1362"/>
      <c r="X15" s="1362"/>
      <c r="Y15" s="1362"/>
      <c r="Z15" s="1362"/>
      <c r="AA15" s="1362" t="s">
        <v>441</v>
      </c>
      <c r="AB15" s="1362"/>
      <c r="AC15" s="1362"/>
      <c r="AD15" s="1362"/>
      <c r="AE15" s="1444"/>
      <c r="AF15" s="49"/>
      <c r="AM15" s="1446"/>
      <c r="AN15" s="1446"/>
      <c r="AO15" s="1446"/>
      <c r="AP15" s="1446"/>
      <c r="AQ15" s="1446"/>
      <c r="AR15" s="1446"/>
      <c r="AS15" s="1446"/>
      <c r="AT15" s="1446"/>
      <c r="AU15" s="1446"/>
      <c r="AV15" s="1446"/>
      <c r="AW15" s="1446"/>
      <c r="AX15" s="1446"/>
      <c r="AY15" s="1446"/>
      <c r="AZ15" s="1446"/>
      <c r="BA15" s="1446"/>
      <c r="BB15" s="1446"/>
      <c r="BC15" s="1446"/>
      <c r="BD15" s="1446"/>
      <c r="BE15" s="1446"/>
      <c r="BF15" s="1446"/>
      <c r="BG15" s="1446"/>
      <c r="BH15" s="1446"/>
    </row>
    <row r="16" spans="1:60">
      <c r="A16" s="1399"/>
      <c r="B16" s="1362"/>
      <c r="C16" s="1362"/>
      <c r="D16" s="1362"/>
      <c r="E16" s="1362"/>
      <c r="F16" s="1362"/>
      <c r="G16" s="1362"/>
      <c r="H16" s="1362"/>
      <c r="I16" s="1362"/>
      <c r="J16" s="1362"/>
      <c r="K16" s="1362"/>
      <c r="L16" s="1362"/>
      <c r="M16" s="1389"/>
      <c r="N16" s="1389"/>
      <c r="O16" s="1389"/>
      <c r="P16" s="1389"/>
      <c r="Q16" s="1362"/>
      <c r="R16" s="1362"/>
      <c r="S16" s="1362"/>
      <c r="T16" s="1362"/>
      <c r="U16" s="1362"/>
      <c r="V16" s="1362"/>
      <c r="W16" s="1362"/>
      <c r="X16" s="1362"/>
      <c r="Y16" s="1362"/>
      <c r="Z16" s="1362"/>
      <c r="AA16" s="1362"/>
      <c r="AB16" s="1362"/>
      <c r="AC16" s="1362"/>
      <c r="AD16" s="1362"/>
      <c r="AE16" s="1444"/>
      <c r="AF16" s="49"/>
      <c r="AM16" s="1446"/>
      <c r="AN16" s="1446"/>
      <c r="AO16" s="1446"/>
      <c r="AP16" s="1446"/>
      <c r="AQ16" s="1446"/>
      <c r="AR16" s="1446"/>
      <c r="AS16" s="1446"/>
      <c r="AT16" s="1446"/>
      <c r="AU16" s="1446"/>
      <c r="AV16" s="1446"/>
      <c r="AW16" s="1446"/>
      <c r="AX16" s="1446"/>
      <c r="AY16" s="1446"/>
      <c r="AZ16" s="1446"/>
      <c r="BA16" s="1446"/>
      <c r="BB16" s="1446"/>
      <c r="BC16" s="1446"/>
      <c r="BD16" s="1446"/>
      <c r="BE16" s="1446"/>
      <c r="BF16" s="1446"/>
      <c r="BG16" s="1446"/>
      <c r="BH16" s="1446"/>
    </row>
    <row r="17" spans="1:48" ht="13.5" customHeight="1">
      <c r="A17" s="1331" t="str">
        <f>IF('먼지측정 사전 Data'!D31&gt;0,"원형","사각형")</f>
        <v>사각형</v>
      </c>
      <c r="B17" s="1332"/>
      <c r="C17" s="1332"/>
      <c r="D17" s="1332"/>
      <c r="E17" s="1337">
        <f>'먼지측정 사전 Data'!J8</f>
        <v>0</v>
      </c>
      <c r="F17" s="1332"/>
      <c r="G17" s="1332"/>
      <c r="H17" s="1333"/>
      <c r="I17" s="1356">
        <f>'먼지측정 사전 Data'!L8</f>
        <v>0</v>
      </c>
      <c r="J17" s="1356"/>
      <c r="K17" s="1356"/>
      <c r="L17" s="1427" t="s">
        <v>333</v>
      </c>
      <c r="M17" s="1337">
        <f>'먼지측정 사전 Data'!N8</f>
        <v>0</v>
      </c>
      <c r="N17" s="1332"/>
      <c r="O17" s="1332"/>
      <c r="P17" s="1427" t="s">
        <v>194</v>
      </c>
      <c r="Q17" s="1434">
        <f>'먼지측정 사전 Data'!H20</f>
        <v>0</v>
      </c>
      <c r="R17" s="1356"/>
      <c r="S17" s="1356"/>
      <c r="T17" s="1352" t="s">
        <v>432</v>
      </c>
      <c r="U17" s="1427"/>
      <c r="V17" s="1332">
        <f>'먼지측정 사전 Data'!O8</f>
        <v>0</v>
      </c>
      <c r="W17" s="1332"/>
      <c r="X17" s="1332"/>
      <c r="Y17" s="1352" t="s">
        <v>334</v>
      </c>
      <c r="Z17" s="1427"/>
      <c r="AA17" s="1356">
        <f>'먼지측정 사전 Data'!P8</f>
        <v>0</v>
      </c>
      <c r="AB17" s="1356"/>
      <c r="AC17" s="1356"/>
      <c r="AD17" s="1352" t="s">
        <v>214</v>
      </c>
      <c r="AE17" s="1353"/>
      <c r="AF17" s="50"/>
    </row>
    <row r="18" spans="1:48" s="32" customFormat="1" ht="13.5" customHeight="1" thickBot="1">
      <c r="A18" s="1334"/>
      <c r="B18" s="1335"/>
      <c r="C18" s="1335"/>
      <c r="D18" s="1335"/>
      <c r="E18" s="1338"/>
      <c r="F18" s="1335"/>
      <c r="G18" s="1335"/>
      <c r="H18" s="1336"/>
      <c r="I18" s="1357"/>
      <c r="J18" s="1357"/>
      <c r="K18" s="1357"/>
      <c r="L18" s="1428"/>
      <c r="M18" s="1338"/>
      <c r="N18" s="1335"/>
      <c r="O18" s="1335"/>
      <c r="P18" s="1428"/>
      <c r="Q18" s="1357"/>
      <c r="R18" s="1357"/>
      <c r="S18" s="1357"/>
      <c r="T18" s="1354"/>
      <c r="U18" s="1428"/>
      <c r="V18" s="1335"/>
      <c r="W18" s="1335"/>
      <c r="X18" s="1335"/>
      <c r="Y18" s="1354"/>
      <c r="Z18" s="1428"/>
      <c r="AA18" s="1357"/>
      <c r="AB18" s="1357"/>
      <c r="AC18" s="1357"/>
      <c r="AD18" s="1354"/>
      <c r="AE18" s="1355"/>
      <c r="AF18" s="50"/>
      <c r="AI18" s="104"/>
      <c r="AL18" s="249"/>
    </row>
    <row r="19" spans="1:48" s="32" customFormat="1" ht="13.5" customHeight="1">
      <c r="A19" s="97"/>
      <c r="B19" s="93"/>
      <c r="C19" s="93"/>
      <c r="D19" s="93"/>
      <c r="E19" s="93"/>
      <c r="F19" s="93"/>
      <c r="G19" s="93"/>
      <c r="H19" s="93"/>
      <c r="I19" s="95"/>
      <c r="J19" s="95"/>
      <c r="K19" s="95"/>
      <c r="L19" s="94"/>
      <c r="M19" s="93"/>
      <c r="N19" s="93"/>
      <c r="O19" s="93"/>
      <c r="P19" s="94"/>
      <c r="Q19" s="93"/>
      <c r="R19" s="93"/>
      <c r="S19" s="93"/>
      <c r="T19" s="94"/>
      <c r="U19" s="94"/>
      <c r="V19" s="93"/>
      <c r="W19" s="93"/>
      <c r="X19" s="93"/>
      <c r="Y19" s="94"/>
      <c r="Z19" s="94"/>
      <c r="AA19" s="95"/>
      <c r="AB19" s="95"/>
      <c r="AC19" s="95"/>
      <c r="AD19" s="94"/>
      <c r="AE19" s="96"/>
      <c r="AF19" s="50"/>
      <c r="AG19" s="114" t="s">
        <v>543</v>
      </c>
      <c r="AI19" s="104"/>
      <c r="AL19" s="249"/>
    </row>
    <row r="20" spans="1:48" ht="17.25" customHeight="1" thickBot="1">
      <c r="A20" s="33" t="s">
        <v>442</v>
      </c>
      <c r="B20" s="34"/>
      <c r="C20" s="34"/>
      <c r="D20" s="34"/>
      <c r="E20" s="35"/>
      <c r="F20" s="35"/>
      <c r="G20" s="91"/>
      <c r="H20" s="91"/>
      <c r="I20" s="81"/>
      <c r="J20" s="81"/>
      <c r="K20" s="35"/>
      <c r="L20" s="34"/>
      <c r="M20" s="34"/>
      <c r="N20" s="35"/>
      <c r="O20" s="35"/>
      <c r="P20" s="35"/>
      <c r="Q20" s="34"/>
      <c r="R20" s="34"/>
      <c r="S20" s="34"/>
      <c r="T20" s="35"/>
      <c r="U20" s="35"/>
      <c r="V20" s="34"/>
      <c r="W20" s="34"/>
      <c r="X20" s="34"/>
      <c r="Y20" s="35"/>
      <c r="Z20" s="35"/>
      <c r="AA20" s="34"/>
      <c r="AB20" s="34"/>
      <c r="AC20" s="34"/>
      <c r="AD20" s="35"/>
      <c r="AE20" s="36"/>
      <c r="AF20" s="55"/>
      <c r="AG20" s="115">
        <f>(21-'먼지측정 사전 Data'!R13)/(21-'먼지측정 사전 Data'!H14)</f>
        <v>4.76190476190483E-3</v>
      </c>
    </row>
    <row r="21" spans="1:48" s="32" customFormat="1" ht="18" customHeight="1">
      <c r="A21" s="1331" t="s">
        <v>336</v>
      </c>
      <c r="B21" s="1332"/>
      <c r="C21" s="1332"/>
      <c r="D21" s="1332"/>
      <c r="E21" s="1333"/>
      <c r="F21" s="1337" t="s">
        <v>337</v>
      </c>
      <c r="G21" s="1332"/>
      <c r="H21" s="1332"/>
      <c r="I21" s="1332"/>
      <c r="J21" s="1332"/>
      <c r="K21" s="1332"/>
      <c r="L21" s="1333"/>
      <c r="M21" s="1337" t="s">
        <v>338</v>
      </c>
      <c r="N21" s="1332"/>
      <c r="O21" s="1332"/>
      <c r="P21" s="1332"/>
      <c r="Q21" s="1332"/>
      <c r="R21" s="1332"/>
      <c r="S21" s="1332"/>
      <c r="T21" s="1332"/>
      <c r="U21" s="1333"/>
      <c r="V21" s="1337" t="s">
        <v>339</v>
      </c>
      <c r="W21" s="1332"/>
      <c r="X21" s="1332"/>
      <c r="Y21" s="1332"/>
      <c r="Z21" s="1332"/>
      <c r="AA21" s="1332"/>
      <c r="AB21" s="1332"/>
      <c r="AC21" s="1332"/>
      <c r="AD21" s="1332"/>
      <c r="AE21" s="1432"/>
      <c r="AF21" s="37"/>
      <c r="AG21" s="37"/>
      <c r="AH21" s="37"/>
      <c r="AI21" s="105"/>
      <c r="AJ21" s="37"/>
      <c r="AK21" s="37"/>
      <c r="AL21" s="249"/>
      <c r="AM21" s="37"/>
      <c r="AN21" s="37"/>
      <c r="AO21" s="37"/>
      <c r="AP21" s="37"/>
      <c r="AQ21" s="37"/>
      <c r="AR21" s="37"/>
      <c r="AS21" s="37"/>
      <c r="AT21" s="37"/>
      <c r="AU21" s="37"/>
      <c r="AV21" s="37"/>
    </row>
    <row r="22" spans="1:48" ht="13.5" customHeight="1">
      <c r="A22" s="1334"/>
      <c r="B22" s="1335"/>
      <c r="C22" s="1335"/>
      <c r="D22" s="1335"/>
      <c r="E22" s="1336"/>
      <c r="F22" s="82" t="s">
        <v>557</v>
      </c>
      <c r="G22" s="1339" t="s">
        <v>619</v>
      </c>
      <c r="H22" s="1340"/>
      <c r="I22" s="1341"/>
      <c r="J22" s="1400" t="s">
        <v>594</v>
      </c>
      <c r="K22" s="1401"/>
      <c r="L22" s="1402"/>
      <c r="M22" s="1338"/>
      <c r="N22" s="1335"/>
      <c r="O22" s="1335"/>
      <c r="P22" s="1335"/>
      <c r="Q22" s="1335"/>
      <c r="R22" s="1335"/>
      <c r="S22" s="1335"/>
      <c r="T22" s="1335"/>
      <c r="U22" s="1336"/>
      <c r="V22" s="1338"/>
      <c r="W22" s="1335"/>
      <c r="X22" s="1335"/>
      <c r="Y22" s="1335"/>
      <c r="Z22" s="1335"/>
      <c r="AA22" s="1335"/>
      <c r="AB22" s="1335"/>
      <c r="AC22" s="1335"/>
      <c r="AD22" s="1335"/>
      <c r="AE22" s="1433"/>
      <c r="AF22" s="37"/>
      <c r="AG22" s="195" t="s">
        <v>720</v>
      </c>
      <c r="AH22" s="195" t="s">
        <v>533</v>
      </c>
      <c r="AI22" s="107" t="s">
        <v>1193</v>
      </c>
      <c r="AJ22" s="108"/>
      <c r="AK22" s="798"/>
      <c r="AL22" s="799"/>
      <c r="AM22" s="37"/>
      <c r="AN22" s="37"/>
      <c r="AO22" s="65" t="s">
        <v>1204</v>
      </c>
      <c r="AP22" s="37"/>
      <c r="AQ22" s="37"/>
      <c r="AR22" s="37"/>
      <c r="AS22" s="37"/>
      <c r="AT22" s="37"/>
      <c r="AU22" s="37"/>
      <c r="AV22" s="37"/>
    </row>
    <row r="23" spans="1:48" ht="13.5" customHeight="1">
      <c r="A23" s="56"/>
      <c r="B23" s="39"/>
      <c r="C23" s="250" t="str">
        <f t="shared" ref="C23:C25" si="0">IF(ISNUMBER(SEARCH("현대자동차",$E$4)),AO23,AJ23)</f>
        <v>먼지</v>
      </c>
      <c r="D23" s="64"/>
      <c r="E23" s="218"/>
      <c r="F23" s="111" t="str">
        <f>IF(G23="","",J23*G23)</f>
        <v/>
      </c>
      <c r="G23" s="1284" t="str">
        <f>IF('먼지측정 사전 Data'!J94=0,"",'먼지측정 사전 Data'!J94)</f>
        <v/>
      </c>
      <c r="H23" s="1285"/>
      <c r="I23" s="1286"/>
      <c r="J23" s="1390">
        <v>1</v>
      </c>
      <c r="K23" s="1391"/>
      <c r="L23" s="1392"/>
      <c r="M23" s="1293" t="s">
        <v>525</v>
      </c>
      <c r="N23" s="1294"/>
      <c r="O23" s="1294"/>
      <c r="P23" s="1294"/>
      <c r="Q23" s="1294"/>
      <c r="R23" s="1294"/>
      <c r="S23" s="1294"/>
      <c r="T23" s="1294"/>
      <c r="U23" s="1295"/>
      <c r="V23" s="64"/>
      <c r="W23" s="64"/>
      <c r="X23" s="64"/>
      <c r="Y23" s="64"/>
      <c r="Z23" s="145" t="s">
        <v>1133</v>
      </c>
      <c r="AA23" s="64"/>
      <c r="AB23" s="64"/>
      <c r="AC23" s="64"/>
      <c r="AD23" s="59"/>
      <c r="AE23" s="63"/>
      <c r="AF23" s="37"/>
      <c r="AG23" s="83">
        <v>1E-8</v>
      </c>
      <c r="AH23" s="84" t="s">
        <v>946</v>
      </c>
      <c r="AI23" s="106">
        <v>1</v>
      </c>
      <c r="AJ23" s="800" t="s">
        <v>524</v>
      </c>
      <c r="AK23" s="798"/>
      <c r="AL23" s="800">
        <f>TYPE(F23)</f>
        <v>2</v>
      </c>
      <c r="AM23" s="88"/>
      <c r="AN23" s="88"/>
      <c r="AO23" s="250" t="s">
        <v>524</v>
      </c>
      <c r="AP23" s="37"/>
      <c r="AQ23" s="60"/>
      <c r="AR23" s="88"/>
      <c r="AS23" s="88"/>
      <c r="AT23" s="37"/>
      <c r="AU23" s="37"/>
      <c r="AV23" s="37"/>
    </row>
    <row r="24" spans="1:48" ht="13.5" customHeight="1">
      <c r="A24" s="40"/>
      <c r="B24" s="37"/>
      <c r="C24" s="60" t="str">
        <f t="shared" si="0"/>
        <v>매연</v>
      </c>
      <c r="D24" s="88"/>
      <c r="E24" s="219"/>
      <c r="F24" s="112" t="str">
        <f>IF(G24="","",G24)</f>
        <v/>
      </c>
      <c r="G24" s="1424"/>
      <c r="H24" s="1425"/>
      <c r="I24" s="1426"/>
      <c r="J24" s="1308">
        <v>1</v>
      </c>
      <c r="K24" s="1309"/>
      <c r="L24" s="1310"/>
      <c r="M24" s="1293" t="s">
        <v>473</v>
      </c>
      <c r="N24" s="1294"/>
      <c r="O24" s="1294"/>
      <c r="P24" s="1294"/>
      <c r="Q24" s="1294"/>
      <c r="R24" s="1294"/>
      <c r="S24" s="1294"/>
      <c r="T24" s="1294"/>
      <c r="U24" s="1295"/>
      <c r="V24" s="88"/>
      <c r="W24" s="88"/>
      <c r="X24" s="88"/>
      <c r="Y24" s="88"/>
      <c r="Z24" s="145" t="s">
        <v>625</v>
      </c>
      <c r="AA24" s="88"/>
      <c r="AB24" s="88"/>
      <c r="AC24" s="88"/>
      <c r="AD24" s="88"/>
      <c r="AE24" s="61"/>
      <c r="AF24" s="37"/>
      <c r="AG24" s="83">
        <v>-1</v>
      </c>
      <c r="AH24" s="83" t="s">
        <v>593</v>
      </c>
      <c r="AI24" s="106">
        <v>0</v>
      </c>
      <c r="AJ24" s="800" t="s">
        <v>526</v>
      </c>
      <c r="AK24" s="108"/>
      <c r="AL24" s="800">
        <f t="shared" ref="AL24:AL74" si="1">TYPE(F24)</f>
        <v>2</v>
      </c>
      <c r="AM24" s="88"/>
      <c r="AN24" s="88"/>
      <c r="AO24" s="60" t="s">
        <v>526</v>
      </c>
      <c r="AP24" s="37"/>
      <c r="AQ24" s="60"/>
      <c r="AR24" s="88"/>
      <c r="AS24" s="88"/>
      <c r="AT24" s="37"/>
      <c r="AU24" s="37"/>
      <c r="AV24" s="37"/>
    </row>
    <row r="25" spans="1:48" ht="13.5" customHeight="1">
      <c r="A25" s="40"/>
      <c r="B25" s="37"/>
      <c r="C25" s="60" t="str">
        <f t="shared" si="0"/>
        <v>NOx</v>
      </c>
      <c r="D25" s="88"/>
      <c r="E25" s="219"/>
      <c r="F25" s="113" t="str">
        <f>IF(G25="","",AVERAGE(G25:I25))</f>
        <v/>
      </c>
      <c r="G25" s="109" t="str">
        <f>IF('먼지측정 사전 Data'!H21="","",'먼지측정 사전 Data'!H21)</f>
        <v/>
      </c>
      <c r="H25" s="109" t="str">
        <f>IF('먼지측정 사전 Data'!J21="","",'먼지측정 사전 Data'!J21)</f>
        <v/>
      </c>
      <c r="I25" s="110" t="str">
        <f>IF('먼지측정 사전 Data'!L21="","",'먼지측정 사전 Data'!L21)</f>
        <v/>
      </c>
      <c r="J25" s="1302"/>
      <c r="K25" s="1303"/>
      <c r="L25" s="1304"/>
      <c r="M25" s="1293" t="s">
        <v>528</v>
      </c>
      <c r="N25" s="1294"/>
      <c r="O25" s="1294"/>
      <c r="P25" s="1294"/>
      <c r="Q25" s="1294"/>
      <c r="R25" s="1294"/>
      <c r="S25" s="1294"/>
      <c r="T25" s="1294"/>
      <c r="U25" s="1295"/>
      <c r="V25" s="88"/>
      <c r="W25" s="88"/>
      <c r="X25" s="88"/>
      <c r="Y25" s="88"/>
      <c r="Z25" s="145" t="s">
        <v>626</v>
      </c>
      <c r="AA25" s="88"/>
      <c r="AB25" s="89"/>
      <c r="AC25" s="89"/>
      <c r="AD25" s="89"/>
      <c r="AE25" s="62"/>
      <c r="AF25" s="65"/>
      <c r="AG25" s="83">
        <v>9.9999999999999995E-7</v>
      </c>
      <c r="AH25" s="85" t="s">
        <v>505</v>
      </c>
      <c r="AI25" s="106">
        <v>1</v>
      </c>
      <c r="AJ25" s="800" t="s">
        <v>527</v>
      </c>
      <c r="AK25" s="108"/>
      <c r="AL25" s="800">
        <f t="shared" si="1"/>
        <v>2</v>
      </c>
      <c r="AM25" s="88"/>
      <c r="AN25" s="88"/>
      <c r="AO25" s="60" t="s">
        <v>1194</v>
      </c>
      <c r="AP25" s="37"/>
      <c r="AQ25" s="60"/>
      <c r="AR25" s="88"/>
      <c r="AS25" s="88"/>
      <c r="AT25" s="37"/>
      <c r="AU25" s="37"/>
      <c r="AV25" s="37"/>
    </row>
    <row r="26" spans="1:48" ht="13.5" customHeight="1">
      <c r="A26" s="40"/>
      <c r="B26" s="37"/>
      <c r="C26" s="60" t="str">
        <f>IF(ISNUMBER(SEARCH("현대자동차",$E$4)),AO26,AJ26)</f>
        <v>SOx</v>
      </c>
      <c r="D26" s="88"/>
      <c r="E26" s="219"/>
      <c r="F26" s="113" t="str">
        <f t="shared" ref="F26:F27" si="2">IF(G26="","",AVERAGE(G26:I26))</f>
        <v/>
      </c>
      <c r="G26" s="109" t="str">
        <f>IF('먼지측정 사전 Data'!H22="","",'먼지측정 사전 Data'!H22)</f>
        <v/>
      </c>
      <c r="H26" s="109" t="str">
        <f>IF('먼지측정 사전 Data'!J22="","",'먼지측정 사전 Data'!J22)</f>
        <v/>
      </c>
      <c r="I26" s="110" t="str">
        <f>IF('먼지측정 사전 Data'!L22="","",'먼지측정 사전 Data'!L22)</f>
        <v/>
      </c>
      <c r="J26" s="1302"/>
      <c r="K26" s="1303"/>
      <c r="L26" s="1304"/>
      <c r="M26" s="1293" t="s">
        <v>528</v>
      </c>
      <c r="N26" s="1294"/>
      <c r="O26" s="1294"/>
      <c r="P26" s="1294"/>
      <c r="Q26" s="1294"/>
      <c r="R26" s="1294"/>
      <c r="S26" s="1294"/>
      <c r="T26" s="1294"/>
      <c r="U26" s="1295"/>
      <c r="V26" s="88"/>
      <c r="W26" s="88"/>
      <c r="X26" s="88"/>
      <c r="Y26" s="88"/>
      <c r="Z26" s="145" t="s">
        <v>832</v>
      </c>
      <c r="AA26" s="88"/>
      <c r="AB26" s="89"/>
      <c r="AC26" s="89"/>
      <c r="AD26" s="89"/>
      <c r="AE26" s="62"/>
      <c r="AF26" s="65"/>
      <c r="AG26" s="83">
        <v>9.9999999999999995E-8</v>
      </c>
      <c r="AH26" s="85" t="s">
        <v>505</v>
      </c>
      <c r="AI26" s="106">
        <v>1</v>
      </c>
      <c r="AJ26" s="800" t="s">
        <v>529</v>
      </c>
      <c r="AK26" s="108"/>
      <c r="AL26" s="800">
        <f t="shared" si="1"/>
        <v>2</v>
      </c>
      <c r="AM26" s="88"/>
      <c r="AN26" s="88"/>
      <c r="AO26" s="60" t="s">
        <v>1195</v>
      </c>
      <c r="AP26" s="37"/>
      <c r="AQ26" s="60"/>
      <c r="AR26" s="88"/>
      <c r="AS26" s="88"/>
      <c r="AT26" s="37"/>
      <c r="AU26" s="37"/>
      <c r="AV26" s="37"/>
    </row>
    <row r="27" spans="1:48" ht="13.5" customHeight="1">
      <c r="A27" s="40"/>
      <c r="B27" s="37"/>
      <c r="C27" s="60" t="str">
        <f t="shared" ref="C27:C72" si="3">IF(ISNUMBER(SEARCH("현대자동차",$E$4)),AO27,AJ27)</f>
        <v>CO</v>
      </c>
      <c r="D27" s="88"/>
      <c r="E27" s="219"/>
      <c r="F27" s="113" t="str">
        <f t="shared" si="2"/>
        <v/>
      </c>
      <c r="G27" s="109" t="str">
        <f>IF('먼지측정 사전 Data'!Q22="","",'먼지측정 사전 Data'!Q22)</f>
        <v/>
      </c>
      <c r="H27" s="109" t="str">
        <f>IF('먼지측정 사전 Data'!S22="","",'먼지측정 사전 Data'!S22)</f>
        <v/>
      </c>
      <c r="I27" s="109" t="str">
        <f>IF('먼지측정 사전 Data'!U22="","",'먼지측정 사전 Data'!U22)</f>
        <v/>
      </c>
      <c r="J27" s="1311"/>
      <c r="K27" s="1312"/>
      <c r="L27" s="1313"/>
      <c r="M27" s="1293" t="s">
        <v>530</v>
      </c>
      <c r="N27" s="1294"/>
      <c r="O27" s="1294"/>
      <c r="P27" s="1294"/>
      <c r="Q27" s="1294"/>
      <c r="R27" s="1294"/>
      <c r="S27" s="1294"/>
      <c r="T27" s="1294"/>
      <c r="U27" s="1295"/>
      <c r="V27" s="88"/>
      <c r="W27" s="88"/>
      <c r="X27" s="88"/>
      <c r="Y27" s="88"/>
      <c r="Z27" s="145" t="s">
        <v>833</v>
      </c>
      <c r="AA27" s="88"/>
      <c r="AB27" s="89"/>
      <c r="AC27" s="89"/>
      <c r="AD27" s="89"/>
      <c r="AE27" s="62"/>
      <c r="AF27" s="65"/>
      <c r="AG27" s="83">
        <v>9.9999999999999995E-7</v>
      </c>
      <c r="AH27" s="85" t="s">
        <v>505</v>
      </c>
      <c r="AI27" s="106">
        <v>1</v>
      </c>
      <c r="AJ27" s="800" t="s">
        <v>467</v>
      </c>
      <c r="AK27" s="108"/>
      <c r="AL27" s="800">
        <f t="shared" si="1"/>
        <v>2</v>
      </c>
      <c r="AM27" s="88"/>
      <c r="AN27" s="88"/>
      <c r="AO27" s="60" t="s">
        <v>1196</v>
      </c>
      <c r="AP27" s="37"/>
      <c r="AQ27" s="60"/>
      <c r="AR27" s="88"/>
      <c r="AS27" s="88"/>
      <c r="AT27" s="37"/>
      <c r="AU27" s="37"/>
      <c r="AV27" s="37"/>
    </row>
    <row r="28" spans="1:48" ht="13.5" customHeight="1">
      <c r="A28" s="40"/>
      <c r="B28" s="37"/>
      <c r="C28" s="60" t="str">
        <f t="shared" si="3"/>
        <v>THC</v>
      </c>
      <c r="D28" s="88"/>
      <c r="E28" s="219"/>
      <c r="F28" s="877"/>
      <c r="G28" s="1429"/>
      <c r="H28" s="1430"/>
      <c r="I28" s="1431"/>
      <c r="J28" s="1297">
        <v>1</v>
      </c>
      <c r="K28" s="1297"/>
      <c r="L28" s="1298"/>
      <c r="M28" s="1293" t="s">
        <v>624</v>
      </c>
      <c r="N28" s="1294"/>
      <c r="O28" s="1294"/>
      <c r="P28" s="1294"/>
      <c r="Q28" s="1294"/>
      <c r="R28" s="1294"/>
      <c r="S28" s="1294"/>
      <c r="T28" s="1294"/>
      <c r="U28" s="1295"/>
      <c r="V28" s="88"/>
      <c r="W28" s="88"/>
      <c r="X28" s="88"/>
      <c r="Y28" s="88"/>
      <c r="Z28" s="145" t="s">
        <v>834</v>
      </c>
      <c r="AA28" s="88"/>
      <c r="AB28" s="88"/>
      <c r="AC28" s="88"/>
      <c r="AD28" s="88"/>
      <c r="AE28" s="61"/>
      <c r="AF28" s="37"/>
      <c r="AG28" s="83">
        <v>9.9999999999999995E-7</v>
      </c>
      <c r="AH28" s="85" t="s">
        <v>505</v>
      </c>
      <c r="AI28" s="106">
        <v>1</v>
      </c>
      <c r="AJ28" s="800" t="s">
        <v>375</v>
      </c>
      <c r="AK28" s="108"/>
      <c r="AL28" s="800">
        <f t="shared" si="1"/>
        <v>1</v>
      </c>
      <c r="AM28" s="88"/>
      <c r="AN28" s="88"/>
      <c r="AO28" s="846" t="s">
        <v>1208</v>
      </c>
      <c r="AP28" s="37"/>
      <c r="AQ28" s="60"/>
      <c r="AR28" s="88"/>
      <c r="AS28" s="88"/>
      <c r="AT28" s="37"/>
      <c r="AU28" s="37"/>
      <c r="AV28" s="37"/>
    </row>
    <row r="29" spans="1:48" ht="13.5" customHeight="1">
      <c r="A29" s="40"/>
      <c r="B29" s="37"/>
      <c r="C29" s="60" t="s">
        <v>1243</v>
      </c>
      <c r="D29" s="88"/>
      <c r="E29" s="876"/>
      <c r="F29" s="877" t="str">
        <f t="shared" ref="F29:F30" si="4">IF(G29="","",J29*G29)</f>
        <v/>
      </c>
      <c r="G29" s="1305"/>
      <c r="H29" s="1306"/>
      <c r="I29" s="1307"/>
      <c r="J29" s="1297">
        <v>1</v>
      </c>
      <c r="K29" s="1297"/>
      <c r="L29" s="1298"/>
      <c r="M29" s="1293" t="s">
        <v>1245</v>
      </c>
      <c r="N29" s="1294"/>
      <c r="O29" s="1294"/>
      <c r="P29" s="1294"/>
      <c r="Q29" s="1294"/>
      <c r="R29" s="1294"/>
      <c r="S29" s="1294"/>
      <c r="T29" s="1294"/>
      <c r="U29" s="1295"/>
      <c r="V29" s="88"/>
      <c r="W29" s="88"/>
      <c r="X29" s="88"/>
      <c r="Y29" s="88"/>
      <c r="Z29" s="145" t="s">
        <v>1259</v>
      </c>
      <c r="AA29" s="88"/>
      <c r="AB29" s="88"/>
      <c r="AC29" s="88"/>
      <c r="AD29" s="88"/>
      <c r="AE29" s="61"/>
      <c r="AF29" s="37"/>
      <c r="AG29" s="83">
        <v>0</v>
      </c>
      <c r="AH29" s="84" t="s">
        <v>946</v>
      </c>
      <c r="AI29" s="106">
        <v>1</v>
      </c>
      <c r="AJ29" s="800" t="s">
        <v>1243</v>
      </c>
      <c r="AK29" s="108"/>
      <c r="AL29" s="800">
        <f t="shared" si="1"/>
        <v>2</v>
      </c>
      <c r="AM29" s="88"/>
      <c r="AN29" s="88"/>
      <c r="AO29" s="846" t="s">
        <v>1243</v>
      </c>
      <c r="AP29" s="37"/>
      <c r="AQ29" s="60"/>
      <c r="AR29" s="88"/>
      <c r="AS29" s="88"/>
      <c r="AT29" s="37"/>
      <c r="AU29" s="37"/>
      <c r="AV29" s="37"/>
    </row>
    <row r="30" spans="1:48" ht="13.5" customHeight="1">
      <c r="A30" s="40"/>
      <c r="B30" s="37"/>
      <c r="C30" s="60" t="s">
        <v>1244</v>
      </c>
      <c r="D30" s="88"/>
      <c r="E30" s="876"/>
      <c r="F30" s="877" t="str">
        <f t="shared" si="4"/>
        <v/>
      </c>
      <c r="G30" s="1305"/>
      <c r="H30" s="1306"/>
      <c r="I30" s="1307"/>
      <c r="J30" s="1297">
        <v>1</v>
      </c>
      <c r="K30" s="1297"/>
      <c r="L30" s="1298"/>
      <c r="M30" s="1293" t="s">
        <v>1245</v>
      </c>
      <c r="N30" s="1294"/>
      <c r="O30" s="1294"/>
      <c r="P30" s="1294"/>
      <c r="Q30" s="1294"/>
      <c r="R30" s="1294"/>
      <c r="S30" s="1294"/>
      <c r="T30" s="1294"/>
      <c r="U30" s="1295"/>
      <c r="V30" s="88"/>
      <c r="W30" s="88"/>
      <c r="X30" s="88"/>
      <c r="Y30" s="88"/>
      <c r="Z30" s="145" t="s">
        <v>1259</v>
      </c>
      <c r="AA30" s="88"/>
      <c r="AB30" s="88"/>
      <c r="AC30" s="88"/>
      <c r="AD30" s="88"/>
      <c r="AE30" s="61"/>
      <c r="AF30" s="37"/>
      <c r="AG30" s="83">
        <v>0</v>
      </c>
      <c r="AH30" s="84" t="s">
        <v>946</v>
      </c>
      <c r="AI30" s="106">
        <v>1</v>
      </c>
      <c r="AJ30" s="800" t="s">
        <v>1244</v>
      </c>
      <c r="AK30" s="108"/>
      <c r="AL30" s="800">
        <f t="shared" si="1"/>
        <v>2</v>
      </c>
      <c r="AM30" s="88"/>
      <c r="AN30" s="88"/>
      <c r="AO30" s="846"/>
      <c r="AP30" s="37"/>
      <c r="AQ30" s="60"/>
      <c r="AR30" s="88"/>
      <c r="AS30" s="88"/>
      <c r="AT30" s="37"/>
      <c r="AU30" s="37"/>
      <c r="AV30" s="37"/>
    </row>
    <row r="31" spans="1:48" ht="13.5" customHeight="1">
      <c r="A31" s="40"/>
      <c r="B31" s="37"/>
      <c r="C31" s="60"/>
      <c r="D31" s="37"/>
      <c r="E31" s="37"/>
      <c r="F31" s="231" t="str">
        <f t="shared" ref="F31" si="5">IF(G31="","",J31*G31)</f>
        <v/>
      </c>
      <c r="G31" s="878"/>
      <c r="H31" s="833"/>
      <c r="I31" s="879"/>
      <c r="J31" s="1299"/>
      <c r="K31" s="1299"/>
      <c r="L31" s="1299"/>
      <c r="M31" s="1293"/>
      <c r="N31" s="1294"/>
      <c r="O31" s="1294"/>
      <c r="P31" s="1294"/>
      <c r="Q31" s="1294"/>
      <c r="R31" s="1294"/>
      <c r="S31" s="1294"/>
      <c r="T31" s="1294"/>
      <c r="U31" s="1295"/>
      <c r="V31" s="88"/>
      <c r="W31" s="88"/>
      <c r="X31" s="88"/>
      <c r="Y31" s="88"/>
      <c r="Z31" s="145"/>
      <c r="AA31" s="88"/>
      <c r="AB31" s="88"/>
      <c r="AC31" s="88"/>
      <c r="AD31" s="88"/>
      <c r="AE31" s="61"/>
      <c r="AF31" s="37"/>
      <c r="AG31" s="83"/>
      <c r="AH31" s="85"/>
      <c r="AI31" s="106"/>
      <c r="AJ31" s="799"/>
      <c r="AK31" s="108"/>
      <c r="AL31" s="800"/>
      <c r="AM31" s="88"/>
      <c r="AN31" s="88"/>
      <c r="AO31" s="37"/>
      <c r="AP31" s="813"/>
      <c r="AQ31" s="813"/>
      <c r="AR31" s="813"/>
      <c r="AS31" s="813"/>
      <c r="AT31" s="37"/>
      <c r="AU31" s="37"/>
      <c r="AV31" s="37"/>
    </row>
    <row r="32" spans="1:48" ht="13.5" customHeight="1">
      <c r="A32" s="40"/>
      <c r="B32" s="37"/>
      <c r="C32" s="60" t="str">
        <f t="shared" si="3"/>
        <v>암모니아</v>
      </c>
      <c r="D32" s="88"/>
      <c r="E32" s="219"/>
      <c r="F32" s="877" t="str">
        <f>IF(H32="-","",IF(H32="ND",0,(IF(H32="","",J32*H32))))</f>
        <v/>
      </c>
      <c r="G32" s="831"/>
      <c r="H32" s="247"/>
      <c r="I32" s="832"/>
      <c r="J32" s="1297">
        <v>1</v>
      </c>
      <c r="K32" s="1297"/>
      <c r="L32" s="1298"/>
      <c r="M32" s="1293" t="s">
        <v>767</v>
      </c>
      <c r="N32" s="1294"/>
      <c r="O32" s="1294"/>
      <c r="P32" s="1294"/>
      <c r="Q32" s="1294"/>
      <c r="R32" s="1294"/>
      <c r="S32" s="1294"/>
      <c r="T32" s="1294"/>
      <c r="U32" s="1295"/>
      <c r="V32" s="88"/>
      <c r="W32" s="88"/>
      <c r="X32" s="88"/>
      <c r="Y32" s="88"/>
      <c r="Z32" s="145" t="s">
        <v>826</v>
      </c>
      <c r="AA32" s="88"/>
      <c r="AB32" s="88"/>
      <c r="AC32" s="88"/>
      <c r="AD32" s="88"/>
      <c r="AE32" s="61"/>
      <c r="AF32" s="37"/>
      <c r="AG32" s="102">
        <v>0.4</v>
      </c>
      <c r="AH32" s="85" t="s">
        <v>505</v>
      </c>
      <c r="AI32" s="229">
        <v>1</v>
      </c>
      <c r="AJ32" s="801" t="s">
        <v>742</v>
      </c>
      <c r="AK32" s="108"/>
      <c r="AL32" s="800">
        <f t="shared" si="1"/>
        <v>2</v>
      </c>
      <c r="AM32" s="88"/>
      <c r="AN32" s="88"/>
      <c r="AO32" s="220" t="s">
        <v>742</v>
      </c>
      <c r="AP32" s="813"/>
      <c r="AQ32" s="145"/>
      <c r="AR32" s="814"/>
      <c r="AS32" s="815"/>
      <c r="AT32" s="37"/>
      <c r="AU32" s="37"/>
      <c r="AV32" s="37"/>
    </row>
    <row r="33" spans="1:60" ht="13.5" customHeight="1">
      <c r="A33" s="40"/>
      <c r="B33" s="37"/>
      <c r="C33" s="60" t="str">
        <f t="shared" si="3"/>
        <v>염화수소</v>
      </c>
      <c r="D33" s="88"/>
      <c r="E33" s="219"/>
      <c r="F33" s="877" t="str">
        <f t="shared" ref="F33:F74" si="6">IF(H33="-","",IF(H33="ND",0,(IF(H33="","",J33*H33))))</f>
        <v/>
      </c>
      <c r="G33" s="235"/>
      <c r="H33" s="927"/>
      <c r="I33" s="241"/>
      <c r="J33" s="1297">
        <v>1</v>
      </c>
      <c r="K33" s="1297"/>
      <c r="L33" s="1298"/>
      <c r="M33" s="1293" t="s">
        <v>963</v>
      </c>
      <c r="N33" s="1294"/>
      <c r="O33" s="1294"/>
      <c r="P33" s="1294"/>
      <c r="Q33" s="1294"/>
      <c r="R33" s="1294"/>
      <c r="S33" s="1294"/>
      <c r="T33" s="1294"/>
      <c r="U33" s="1295"/>
      <c r="V33" s="88"/>
      <c r="W33" s="88"/>
      <c r="X33" s="88"/>
      <c r="Y33" s="88"/>
      <c r="Z33" s="145" t="s">
        <v>825</v>
      </c>
      <c r="AA33" s="88"/>
      <c r="AB33" s="88"/>
      <c r="AC33" s="88"/>
      <c r="AD33" s="88"/>
      <c r="AE33" s="61"/>
      <c r="AF33" s="37"/>
      <c r="AG33" s="102">
        <v>0.5</v>
      </c>
      <c r="AH33" s="85" t="s">
        <v>505</v>
      </c>
      <c r="AI33" s="228">
        <v>1</v>
      </c>
      <c r="AJ33" s="802" t="s">
        <v>743</v>
      </c>
      <c r="AK33" s="108"/>
      <c r="AL33" s="800">
        <f t="shared" si="1"/>
        <v>2</v>
      </c>
      <c r="AM33" s="792"/>
      <c r="AN33" s="792"/>
      <c r="AO33" s="221" t="s">
        <v>743</v>
      </c>
      <c r="AP33" s="813"/>
      <c r="AQ33" s="145"/>
      <c r="AR33" s="814"/>
      <c r="AS33" s="815"/>
      <c r="AT33" s="792"/>
      <c r="AU33" s="792"/>
      <c r="AV33" s="792"/>
      <c r="AW33" s="792"/>
      <c r="AX33" s="792"/>
      <c r="AY33" s="792"/>
      <c r="AZ33" s="792"/>
      <c r="BA33" s="792"/>
      <c r="BB33" s="792"/>
      <c r="BC33" s="792"/>
      <c r="BD33" s="792"/>
      <c r="BE33" s="792"/>
      <c r="BF33" s="792"/>
      <c r="BG33" s="792"/>
      <c r="BH33" s="792"/>
    </row>
    <row r="34" spans="1:60" ht="13.5" customHeight="1">
      <c r="A34" s="40"/>
      <c r="B34" s="37"/>
      <c r="C34" s="60" t="str">
        <f t="shared" si="3"/>
        <v>이황화탄소</v>
      </c>
      <c r="D34" s="88"/>
      <c r="E34" s="219"/>
      <c r="F34" s="877" t="str">
        <f t="shared" si="6"/>
        <v/>
      </c>
      <c r="G34" s="236"/>
      <c r="H34" s="927"/>
      <c r="I34" s="242"/>
      <c r="J34" s="1297">
        <v>1</v>
      </c>
      <c r="K34" s="1297"/>
      <c r="L34" s="1298"/>
      <c r="M34" s="1293" t="s">
        <v>486</v>
      </c>
      <c r="N34" s="1294"/>
      <c r="O34" s="1294"/>
      <c r="P34" s="1294"/>
      <c r="Q34" s="1294"/>
      <c r="R34" s="1294"/>
      <c r="S34" s="1294"/>
      <c r="T34" s="1294"/>
      <c r="U34" s="1295"/>
      <c r="V34" s="88"/>
      <c r="W34" s="88"/>
      <c r="X34" s="88"/>
      <c r="Y34" s="88"/>
      <c r="Z34" s="145" t="s">
        <v>628</v>
      </c>
      <c r="AA34" s="88"/>
      <c r="AB34" s="88"/>
      <c r="AC34" s="88"/>
      <c r="AD34" s="88"/>
      <c r="AE34" s="61"/>
      <c r="AF34" s="37"/>
      <c r="AG34" s="102">
        <v>1.3</v>
      </c>
      <c r="AH34" s="85" t="s">
        <v>505</v>
      </c>
      <c r="AI34" s="228">
        <v>1</v>
      </c>
      <c r="AJ34" s="802" t="s">
        <v>744</v>
      </c>
      <c r="AK34" s="108"/>
      <c r="AL34" s="800">
        <f t="shared" si="1"/>
        <v>2</v>
      </c>
      <c r="AM34" s="792"/>
      <c r="AN34" s="792"/>
      <c r="AO34" s="221" t="s">
        <v>744</v>
      </c>
      <c r="AP34" s="813"/>
      <c r="AQ34" s="145"/>
      <c r="AR34" s="814"/>
      <c r="AS34" s="815"/>
      <c r="AT34" s="792"/>
      <c r="AU34" s="792"/>
      <c r="AV34" s="792"/>
      <c r="AW34" s="792"/>
      <c r="AX34" s="792"/>
      <c r="AY34" s="792"/>
      <c r="AZ34" s="792"/>
      <c r="BA34" s="792"/>
      <c r="BB34" s="792"/>
      <c r="BC34" s="792"/>
      <c r="BD34" s="792"/>
      <c r="BE34" s="792"/>
      <c r="BF34" s="792"/>
      <c r="BG34" s="792"/>
      <c r="BH34" s="792"/>
    </row>
    <row r="35" spans="1:60" ht="13.5" customHeight="1">
      <c r="A35" s="86"/>
      <c r="B35" s="65"/>
      <c r="C35" s="60" t="str">
        <f t="shared" si="3"/>
        <v>황화수소</v>
      </c>
      <c r="D35" s="88"/>
      <c r="E35" s="219"/>
      <c r="F35" s="113" t="str">
        <f t="shared" si="6"/>
        <v/>
      </c>
      <c r="G35" s="235"/>
      <c r="H35" s="927"/>
      <c r="I35" s="241"/>
      <c r="J35" s="1296">
        <v>1</v>
      </c>
      <c r="K35" s="1297"/>
      <c r="L35" s="1298"/>
      <c r="M35" s="1293" t="s">
        <v>768</v>
      </c>
      <c r="N35" s="1294"/>
      <c r="O35" s="1294"/>
      <c r="P35" s="1294"/>
      <c r="Q35" s="1294"/>
      <c r="R35" s="1294"/>
      <c r="S35" s="1294"/>
      <c r="T35" s="1294"/>
      <c r="U35" s="1295"/>
      <c r="V35" s="88"/>
      <c r="W35" s="88"/>
      <c r="X35" s="88"/>
      <c r="Y35" s="88"/>
      <c r="Z35" s="145" t="s">
        <v>827</v>
      </c>
      <c r="AA35" s="88"/>
      <c r="AB35" s="88"/>
      <c r="AC35" s="88"/>
      <c r="AD35" s="88"/>
      <c r="AE35" s="61"/>
      <c r="AF35" s="37"/>
      <c r="AG35" s="102">
        <v>0.5</v>
      </c>
      <c r="AH35" s="85" t="s">
        <v>505</v>
      </c>
      <c r="AI35" s="228">
        <v>1</v>
      </c>
      <c r="AJ35" s="801" t="s">
        <v>745</v>
      </c>
      <c r="AK35" s="803"/>
      <c r="AL35" s="800">
        <f t="shared" si="1"/>
        <v>2</v>
      </c>
      <c r="AM35" s="792"/>
      <c r="AN35" s="792"/>
      <c r="AO35" s="220" t="s">
        <v>745</v>
      </c>
      <c r="AP35" s="813"/>
      <c r="AQ35" s="145"/>
      <c r="AR35" s="814"/>
      <c r="AS35" s="815"/>
      <c r="AT35" s="792"/>
      <c r="AU35" s="792"/>
      <c r="AV35" s="792"/>
      <c r="AW35" s="792"/>
      <c r="AX35" s="792"/>
      <c r="AY35" s="792"/>
      <c r="AZ35" s="792"/>
      <c r="BA35" s="792"/>
      <c r="BB35" s="792"/>
      <c r="BC35" s="792"/>
      <c r="BD35" s="792"/>
      <c r="BE35" s="792"/>
      <c r="BF35" s="792"/>
      <c r="BG35" s="792"/>
      <c r="BH35" s="792"/>
    </row>
    <row r="36" spans="1:60" ht="13.5" customHeight="1">
      <c r="A36" s="40"/>
      <c r="B36" s="37"/>
      <c r="C36" s="60" t="str">
        <f t="shared" si="3"/>
        <v>플루오린화합물</v>
      </c>
      <c r="D36" s="88"/>
      <c r="E36" s="219"/>
      <c r="F36" s="892" t="str">
        <f t="shared" si="6"/>
        <v/>
      </c>
      <c r="G36" s="235"/>
      <c r="H36" s="926"/>
      <c r="I36" s="241"/>
      <c r="J36" s="1296">
        <v>1</v>
      </c>
      <c r="K36" s="1297"/>
      <c r="L36" s="1298"/>
      <c r="M36" s="1293" t="s">
        <v>964</v>
      </c>
      <c r="N36" s="1294"/>
      <c r="O36" s="1294"/>
      <c r="P36" s="1294"/>
      <c r="Q36" s="1294"/>
      <c r="R36" s="1294"/>
      <c r="S36" s="1294"/>
      <c r="T36" s="1294"/>
      <c r="U36" s="1295"/>
      <c r="V36" s="88"/>
      <c r="W36" s="88"/>
      <c r="X36" s="88"/>
      <c r="Y36" s="88"/>
      <c r="Z36" s="145" t="s">
        <v>1136</v>
      </c>
      <c r="AA36" s="88"/>
      <c r="AB36" s="88"/>
      <c r="AC36" s="88"/>
      <c r="AD36" s="88"/>
      <c r="AE36" s="61"/>
      <c r="AF36" s="37"/>
      <c r="AG36" s="102">
        <v>0.02</v>
      </c>
      <c r="AH36" s="85" t="s">
        <v>505</v>
      </c>
      <c r="AI36" s="228">
        <v>2</v>
      </c>
      <c r="AJ36" s="801" t="s">
        <v>746</v>
      </c>
      <c r="AK36" s="108"/>
      <c r="AL36" s="800">
        <f t="shared" si="1"/>
        <v>2</v>
      </c>
      <c r="AM36" s="792"/>
      <c r="AN36" s="792"/>
      <c r="AO36" s="848" t="s">
        <v>1213</v>
      </c>
      <c r="AP36" s="813"/>
      <c r="AQ36" s="145"/>
      <c r="AR36" s="817"/>
      <c r="AS36" s="815"/>
      <c r="AT36" s="792"/>
      <c r="AU36" s="792"/>
      <c r="AV36" s="792"/>
      <c r="AW36" s="792"/>
      <c r="AX36" s="792"/>
      <c r="AY36" s="792"/>
      <c r="AZ36" s="792"/>
      <c r="BA36" s="792"/>
      <c r="BB36" s="792"/>
      <c r="BC36" s="792"/>
      <c r="BD36" s="792"/>
      <c r="BE36" s="792"/>
      <c r="BF36" s="792"/>
      <c r="BG36" s="792"/>
      <c r="BH36" s="792"/>
    </row>
    <row r="37" spans="1:60" ht="13.5" customHeight="1">
      <c r="A37" s="40"/>
      <c r="B37" s="37"/>
      <c r="C37" s="60" t="str">
        <f t="shared" si="3"/>
        <v>사이안화수소</v>
      </c>
      <c r="D37" s="88"/>
      <c r="E37" s="219"/>
      <c r="F37" s="892" t="str">
        <f t="shared" si="6"/>
        <v/>
      </c>
      <c r="G37" s="235"/>
      <c r="H37" s="926"/>
      <c r="I37" s="241"/>
      <c r="J37" s="1296">
        <v>1</v>
      </c>
      <c r="K37" s="1297"/>
      <c r="L37" s="1298"/>
      <c r="M37" s="1293" t="s">
        <v>769</v>
      </c>
      <c r="N37" s="1294"/>
      <c r="O37" s="1294"/>
      <c r="P37" s="1294"/>
      <c r="Q37" s="1294"/>
      <c r="R37" s="1294"/>
      <c r="S37" s="1294"/>
      <c r="T37" s="1294"/>
      <c r="U37" s="1295"/>
      <c r="V37" s="88"/>
      <c r="W37" s="88"/>
      <c r="X37" s="88"/>
      <c r="Y37" s="88"/>
      <c r="Z37" s="145" t="s">
        <v>1137</v>
      </c>
      <c r="AA37" s="88"/>
      <c r="AB37" s="88"/>
      <c r="AC37" s="88"/>
      <c r="AD37" s="88"/>
      <c r="AE37" s="61"/>
      <c r="AF37" s="37"/>
      <c r="AG37" s="102">
        <v>0.02</v>
      </c>
      <c r="AH37" s="85" t="s">
        <v>505</v>
      </c>
      <c r="AI37" s="228">
        <v>2</v>
      </c>
      <c r="AJ37" s="801" t="s">
        <v>747</v>
      </c>
      <c r="AK37" s="108"/>
      <c r="AL37" s="800">
        <f t="shared" si="1"/>
        <v>2</v>
      </c>
      <c r="AM37" s="792"/>
      <c r="AN37" s="792"/>
      <c r="AO37" s="848" t="s">
        <v>1197</v>
      </c>
      <c r="AP37" s="813"/>
      <c r="AQ37" s="145"/>
      <c r="AR37" s="817"/>
      <c r="AS37" s="815"/>
      <c r="AT37" s="792"/>
      <c r="AU37" s="792"/>
      <c r="AV37" s="792"/>
      <c r="AW37" s="792"/>
      <c r="AX37" s="792"/>
      <c r="AY37" s="792"/>
      <c r="AZ37" s="792"/>
      <c r="BA37" s="792"/>
      <c r="BB37" s="792"/>
      <c r="BC37" s="792"/>
      <c r="BD37" s="792"/>
      <c r="BE37" s="792"/>
      <c r="BF37" s="792"/>
      <c r="BG37" s="792"/>
      <c r="BH37" s="792"/>
    </row>
    <row r="38" spans="1:60" ht="13.5" customHeight="1">
      <c r="A38" s="139"/>
      <c r="B38" s="140"/>
      <c r="C38" s="60" t="str">
        <f t="shared" si="3"/>
        <v>브로민화합물</v>
      </c>
      <c r="D38" s="141"/>
      <c r="E38" s="222"/>
      <c r="F38" s="113" t="str">
        <f t="shared" si="6"/>
        <v/>
      </c>
      <c r="G38" s="237"/>
      <c r="H38" s="927"/>
      <c r="I38" s="243"/>
      <c r="J38" s="1296">
        <v>1</v>
      </c>
      <c r="K38" s="1297"/>
      <c r="L38" s="1298"/>
      <c r="M38" s="1293" t="s">
        <v>486</v>
      </c>
      <c r="N38" s="1294"/>
      <c r="O38" s="1294"/>
      <c r="P38" s="1294"/>
      <c r="Q38" s="1294"/>
      <c r="R38" s="1294"/>
      <c r="S38" s="1294"/>
      <c r="T38" s="1294"/>
      <c r="U38" s="1295"/>
      <c r="V38" s="141"/>
      <c r="W38" s="141"/>
      <c r="X38" s="141"/>
      <c r="Y38" s="141"/>
      <c r="Z38" s="145" t="s">
        <v>627</v>
      </c>
      <c r="AA38" s="141"/>
      <c r="AB38" s="141"/>
      <c r="AC38" s="141"/>
      <c r="AD38" s="141"/>
      <c r="AE38" s="142"/>
      <c r="AF38" s="37"/>
      <c r="AG38" s="102">
        <v>0.6</v>
      </c>
      <c r="AH38" s="85" t="s">
        <v>505</v>
      </c>
      <c r="AI38" s="228">
        <v>1</v>
      </c>
      <c r="AJ38" s="801" t="s">
        <v>748</v>
      </c>
      <c r="AK38" s="108"/>
      <c r="AL38" s="800">
        <f t="shared" si="1"/>
        <v>2</v>
      </c>
      <c r="AM38" s="792"/>
      <c r="AN38" s="792"/>
      <c r="AO38" s="848" t="s">
        <v>1218</v>
      </c>
      <c r="AP38" s="813"/>
      <c r="AQ38" s="145"/>
      <c r="AR38" s="814"/>
      <c r="AS38" s="815"/>
      <c r="AT38" s="792"/>
      <c r="AU38" s="792"/>
      <c r="AV38" s="792"/>
      <c r="AW38" s="792"/>
      <c r="AX38" s="792"/>
      <c r="AY38" s="792"/>
      <c r="AZ38" s="792"/>
      <c r="BA38" s="792"/>
      <c r="BB38" s="792"/>
      <c r="BC38" s="792"/>
      <c r="BD38" s="792"/>
      <c r="BE38" s="792"/>
      <c r="BF38" s="792"/>
      <c r="BG38" s="792"/>
      <c r="BH38" s="792"/>
    </row>
    <row r="39" spans="1:60" ht="13.5" customHeight="1">
      <c r="A39" s="40"/>
      <c r="B39" s="37"/>
      <c r="C39" s="60" t="str">
        <f t="shared" si="3"/>
        <v>페놀화합물</v>
      </c>
      <c r="D39" s="88"/>
      <c r="E39" s="219"/>
      <c r="F39" s="892" t="str">
        <f t="shared" si="6"/>
        <v/>
      </c>
      <c r="G39" s="237"/>
      <c r="H39" s="926"/>
      <c r="I39" s="243"/>
      <c r="J39" s="1296">
        <v>1</v>
      </c>
      <c r="K39" s="1297"/>
      <c r="L39" s="1298"/>
      <c r="M39" s="1293" t="s">
        <v>965</v>
      </c>
      <c r="N39" s="1294"/>
      <c r="O39" s="1294"/>
      <c r="P39" s="1294"/>
      <c r="Q39" s="1294"/>
      <c r="R39" s="1294"/>
      <c r="S39" s="1294"/>
      <c r="T39" s="1294"/>
      <c r="U39" s="1295"/>
      <c r="V39" s="88"/>
      <c r="W39" s="88"/>
      <c r="X39" s="88"/>
      <c r="Y39" s="88"/>
      <c r="Z39" s="145" t="s">
        <v>828</v>
      </c>
      <c r="AA39" s="88"/>
      <c r="AB39" s="88"/>
      <c r="AC39" s="88"/>
      <c r="AD39" s="88"/>
      <c r="AE39" s="61"/>
      <c r="AF39" s="37"/>
      <c r="AG39" s="102">
        <v>0.32</v>
      </c>
      <c r="AH39" s="85" t="s">
        <v>505</v>
      </c>
      <c r="AI39" s="228">
        <v>2</v>
      </c>
      <c r="AJ39" s="804" t="s">
        <v>749</v>
      </c>
      <c r="AK39" s="108"/>
      <c r="AL39" s="800">
        <f t="shared" si="1"/>
        <v>2</v>
      </c>
      <c r="AM39" s="88"/>
      <c r="AN39" s="88"/>
      <c r="AO39" s="850" t="s">
        <v>749</v>
      </c>
      <c r="AP39" s="813"/>
      <c r="AQ39" s="145"/>
      <c r="AR39" s="817"/>
      <c r="AS39" s="815"/>
      <c r="AT39" s="37"/>
      <c r="AU39" s="88"/>
      <c r="AW39" s="88"/>
    </row>
    <row r="40" spans="1:60" ht="13.5" customHeight="1">
      <c r="A40" s="40"/>
      <c r="B40" s="37"/>
      <c r="C40" s="60" t="s">
        <v>1246</v>
      </c>
      <c r="D40" s="88"/>
      <c r="E40" s="219"/>
      <c r="F40" s="113" t="str">
        <f t="shared" si="6"/>
        <v/>
      </c>
      <c r="G40" s="237"/>
      <c r="H40" s="927"/>
      <c r="I40" s="243"/>
      <c r="J40" s="1296">
        <v>1</v>
      </c>
      <c r="K40" s="1297"/>
      <c r="L40" s="1298"/>
      <c r="M40" s="1293" t="s">
        <v>769</v>
      </c>
      <c r="N40" s="1294"/>
      <c r="O40" s="1294"/>
      <c r="P40" s="1294"/>
      <c r="Q40" s="1294"/>
      <c r="R40" s="1294"/>
      <c r="S40" s="1294"/>
      <c r="T40" s="1294"/>
      <c r="U40" s="1295"/>
      <c r="V40" s="88"/>
      <c r="W40" s="88"/>
      <c r="X40" s="88"/>
      <c r="Y40" s="88"/>
      <c r="Z40" s="145" t="s">
        <v>1255</v>
      </c>
      <c r="AA40" s="88"/>
      <c r="AB40" s="88"/>
      <c r="AC40" s="88"/>
      <c r="AD40" s="88"/>
      <c r="AE40" s="61"/>
      <c r="AF40" s="37"/>
      <c r="AG40" s="102">
        <v>0.04</v>
      </c>
      <c r="AH40" s="85" t="s">
        <v>505</v>
      </c>
      <c r="AI40" s="228">
        <v>1</v>
      </c>
      <c r="AJ40" s="804" t="s">
        <v>1246</v>
      </c>
      <c r="AK40" s="108"/>
      <c r="AL40" s="800">
        <f t="shared" si="1"/>
        <v>2</v>
      </c>
      <c r="AM40" s="88"/>
      <c r="AN40" s="88"/>
      <c r="AO40" s="850" t="s">
        <v>1246</v>
      </c>
      <c r="AP40" s="813"/>
      <c r="AQ40" s="145"/>
      <c r="AR40" s="817"/>
      <c r="AS40" s="815"/>
      <c r="AT40" s="37"/>
      <c r="AU40" s="88"/>
      <c r="AW40" s="88"/>
    </row>
    <row r="41" spans="1:60" ht="13.5" customHeight="1">
      <c r="A41" s="40"/>
      <c r="B41" s="37"/>
      <c r="C41" s="60"/>
      <c r="D41" s="37"/>
      <c r="E41" s="768"/>
      <c r="F41" s="234" t="str">
        <f t="shared" si="6"/>
        <v/>
      </c>
      <c r="G41" s="237"/>
      <c r="H41" s="929"/>
      <c r="I41" s="243"/>
      <c r="J41" s="1299"/>
      <c r="K41" s="1299"/>
      <c r="L41" s="1301"/>
      <c r="M41" s="1293"/>
      <c r="N41" s="1294"/>
      <c r="O41" s="1294"/>
      <c r="P41" s="1294"/>
      <c r="Q41" s="1294"/>
      <c r="R41" s="1294"/>
      <c r="S41" s="1294"/>
      <c r="T41" s="1294"/>
      <c r="U41" s="1295"/>
      <c r="V41" s="88"/>
      <c r="W41" s="88"/>
      <c r="X41" s="88"/>
      <c r="Y41" s="88"/>
      <c r="Z41" s="145"/>
      <c r="AA41" s="88"/>
      <c r="AB41" s="88"/>
      <c r="AC41" s="88"/>
      <c r="AD41" s="88"/>
      <c r="AE41" s="61"/>
      <c r="AF41" s="37"/>
      <c r="AG41" s="793"/>
      <c r="AH41" s="85"/>
      <c r="AI41" s="228"/>
      <c r="AJ41" s="799"/>
      <c r="AK41" s="108"/>
      <c r="AL41" s="800"/>
      <c r="AM41" s="88"/>
      <c r="AN41" s="88"/>
      <c r="AO41" s="37"/>
      <c r="AP41" s="818"/>
      <c r="AQ41" s="819"/>
      <c r="AR41" s="819"/>
      <c r="AS41" s="819"/>
      <c r="AT41" s="37"/>
      <c r="AU41" s="37"/>
      <c r="AV41" s="37"/>
    </row>
    <row r="42" spans="1:60" ht="13.5" customHeight="1">
      <c r="A42" s="40"/>
      <c r="B42" s="37"/>
      <c r="C42" s="60" t="str">
        <f t="shared" si="3"/>
        <v>비소</v>
      </c>
      <c r="D42" s="88"/>
      <c r="E42" s="219"/>
      <c r="F42" s="112" t="str">
        <f t="shared" si="6"/>
        <v/>
      </c>
      <c r="G42" s="237"/>
      <c r="H42" s="926"/>
      <c r="I42" s="243"/>
      <c r="J42" s="1296">
        <v>1</v>
      </c>
      <c r="K42" s="1297"/>
      <c r="L42" s="1298"/>
      <c r="M42" s="1293" t="s">
        <v>531</v>
      </c>
      <c r="N42" s="1294"/>
      <c r="O42" s="1294"/>
      <c r="P42" s="1294"/>
      <c r="Q42" s="1294"/>
      <c r="R42" s="1294"/>
      <c r="S42" s="1294"/>
      <c r="T42" s="1294"/>
      <c r="U42" s="1295"/>
      <c r="V42" s="88"/>
      <c r="W42" s="88"/>
      <c r="X42" s="88"/>
      <c r="Y42" s="88"/>
      <c r="Z42" s="145" t="s">
        <v>1135</v>
      </c>
      <c r="AA42" s="88"/>
      <c r="AB42" s="88"/>
      <c r="AC42" s="88"/>
      <c r="AD42" s="88"/>
      <c r="AE42" s="61"/>
      <c r="AF42" s="37"/>
      <c r="AG42" s="794">
        <v>1E-3</v>
      </c>
      <c r="AH42" s="85" t="s">
        <v>505</v>
      </c>
      <c r="AI42" s="228">
        <v>3</v>
      </c>
      <c r="AJ42" s="805" t="s">
        <v>836</v>
      </c>
      <c r="AK42" s="108"/>
      <c r="AL42" s="800">
        <f t="shared" si="1"/>
        <v>2</v>
      </c>
      <c r="AM42" s="88"/>
      <c r="AN42" s="88"/>
      <c r="AO42" s="847" t="s">
        <v>1082</v>
      </c>
      <c r="AP42" s="818"/>
      <c r="AQ42" s="820"/>
      <c r="AR42" s="820"/>
      <c r="AS42" s="821"/>
    </row>
    <row r="43" spans="1:60" ht="13.5" customHeight="1">
      <c r="A43" s="40"/>
      <c r="B43" s="37"/>
      <c r="C43" s="60" t="str">
        <f t="shared" si="3"/>
        <v>베릴륨</v>
      </c>
      <c r="E43" s="224"/>
      <c r="F43" s="112" t="str">
        <f t="shared" si="6"/>
        <v/>
      </c>
      <c r="G43" s="237"/>
      <c r="H43" s="931"/>
      <c r="I43" s="243"/>
      <c r="J43" s="1296">
        <v>1</v>
      </c>
      <c r="K43" s="1297"/>
      <c r="L43" s="1298"/>
      <c r="M43" s="1293" t="s">
        <v>531</v>
      </c>
      <c r="N43" s="1294"/>
      <c r="O43" s="1294"/>
      <c r="P43" s="1294"/>
      <c r="Q43" s="1294"/>
      <c r="R43" s="1294"/>
      <c r="S43" s="1294"/>
      <c r="T43" s="1294"/>
      <c r="U43" s="1295"/>
      <c r="V43" s="88"/>
      <c r="W43" s="88"/>
      <c r="X43" s="88"/>
      <c r="Y43" s="88"/>
      <c r="Z43" s="145" t="s">
        <v>831</v>
      </c>
      <c r="AA43" s="88"/>
      <c r="AB43" s="88"/>
      <c r="AC43" s="88"/>
      <c r="AD43" s="88"/>
      <c r="AE43" s="61"/>
      <c r="AF43" s="37"/>
      <c r="AG43" s="795">
        <v>8.0000000000000002E-3</v>
      </c>
      <c r="AH43" s="85" t="s">
        <v>946</v>
      </c>
      <c r="AI43" s="228">
        <v>3</v>
      </c>
      <c r="AJ43" s="805" t="s">
        <v>840</v>
      </c>
      <c r="AK43" s="108"/>
      <c r="AL43" s="800">
        <f t="shared" si="1"/>
        <v>2</v>
      </c>
      <c r="AM43" s="88"/>
      <c r="AN43" s="88"/>
      <c r="AO43" s="769" t="s">
        <v>1198</v>
      </c>
      <c r="AP43" s="818"/>
      <c r="AQ43" s="820"/>
      <c r="AR43" s="820"/>
      <c r="AS43" s="821"/>
      <c r="AT43" s="37"/>
      <c r="AU43" s="37"/>
      <c r="AV43" s="37"/>
    </row>
    <row r="44" spans="1:60" ht="13.5" customHeight="1">
      <c r="A44" s="40"/>
      <c r="B44" s="37"/>
      <c r="C44" s="60" t="str">
        <f t="shared" si="3"/>
        <v>카드뮴</v>
      </c>
      <c r="D44" s="88"/>
      <c r="E44" s="219"/>
      <c r="F44" s="112" t="str">
        <f t="shared" si="6"/>
        <v/>
      </c>
      <c r="G44" s="238"/>
      <c r="H44" s="931" t="s">
        <v>536</v>
      </c>
      <c r="I44" s="244"/>
      <c r="J44" s="1296">
        <v>1</v>
      </c>
      <c r="K44" s="1297"/>
      <c r="L44" s="1298"/>
      <c r="M44" s="1293" t="s">
        <v>531</v>
      </c>
      <c r="N44" s="1294"/>
      <c r="O44" s="1294"/>
      <c r="P44" s="1294"/>
      <c r="Q44" s="1294"/>
      <c r="R44" s="1294"/>
      <c r="S44" s="1294"/>
      <c r="T44" s="1294"/>
      <c r="U44" s="1295"/>
      <c r="V44" s="88"/>
      <c r="W44" s="88"/>
      <c r="X44" s="88"/>
      <c r="Y44" s="88"/>
      <c r="Z44" s="145" t="s">
        <v>831</v>
      </c>
      <c r="AA44" s="88"/>
      <c r="AB44" s="88"/>
      <c r="AC44" s="88"/>
      <c r="AD44" s="88"/>
      <c r="AE44" s="61"/>
      <c r="AF44" s="37"/>
      <c r="AG44" s="795">
        <v>2E-3</v>
      </c>
      <c r="AH44" s="85" t="s">
        <v>946</v>
      </c>
      <c r="AI44" s="228">
        <v>3</v>
      </c>
      <c r="AJ44" s="805" t="s">
        <v>837</v>
      </c>
      <c r="AK44" s="108"/>
      <c r="AL44" s="800">
        <f t="shared" si="1"/>
        <v>2</v>
      </c>
      <c r="AM44" s="88"/>
      <c r="AN44" s="88"/>
      <c r="AO44" s="847" t="s">
        <v>1209</v>
      </c>
      <c r="AP44" s="818"/>
      <c r="AQ44" s="820"/>
      <c r="AR44" s="820"/>
      <c r="AS44" s="821"/>
      <c r="AT44" s="37"/>
      <c r="AU44" s="37"/>
      <c r="AV44" s="37"/>
    </row>
    <row r="45" spans="1:60" ht="13.5" customHeight="1">
      <c r="A45" s="40"/>
      <c r="B45" s="37"/>
      <c r="C45" s="60" t="str">
        <f t="shared" si="3"/>
        <v>크로뮴</v>
      </c>
      <c r="D45" s="88"/>
      <c r="E45" s="219"/>
      <c r="F45" s="112" t="str">
        <f t="shared" si="6"/>
        <v/>
      </c>
      <c r="G45" s="238"/>
      <c r="H45" s="926"/>
      <c r="I45" s="244"/>
      <c r="J45" s="1296">
        <v>1</v>
      </c>
      <c r="K45" s="1297"/>
      <c r="L45" s="1298"/>
      <c r="M45" s="1293" t="s">
        <v>531</v>
      </c>
      <c r="N45" s="1294"/>
      <c r="O45" s="1294"/>
      <c r="P45" s="1294"/>
      <c r="Q45" s="1294"/>
      <c r="R45" s="1294"/>
      <c r="S45" s="1294"/>
      <c r="T45" s="1294"/>
      <c r="U45" s="1295"/>
      <c r="V45" s="88"/>
      <c r="W45" s="88"/>
      <c r="X45" s="88"/>
      <c r="Y45" s="88"/>
      <c r="Z45" s="145" t="s">
        <v>831</v>
      </c>
      <c r="AA45" s="88"/>
      <c r="AB45" s="88"/>
      <c r="AC45" s="88"/>
      <c r="AD45" s="88"/>
      <c r="AE45" s="61"/>
      <c r="AF45" s="37"/>
      <c r="AG45" s="795">
        <v>1.6E-2</v>
      </c>
      <c r="AH45" s="85" t="s">
        <v>946</v>
      </c>
      <c r="AI45" s="228">
        <v>3</v>
      </c>
      <c r="AJ45" s="805" t="s">
        <v>838</v>
      </c>
      <c r="AK45" s="108"/>
      <c r="AL45" s="800">
        <f t="shared" si="1"/>
        <v>2</v>
      </c>
      <c r="AM45" s="88"/>
      <c r="AN45" s="88"/>
      <c r="AO45" s="847" t="s">
        <v>1211</v>
      </c>
      <c r="AP45" s="818"/>
      <c r="AQ45" s="820"/>
      <c r="AR45" s="820"/>
      <c r="AS45" s="821"/>
      <c r="AT45" s="37"/>
      <c r="AU45" s="37"/>
      <c r="AV45" s="37"/>
    </row>
    <row r="46" spans="1:60" ht="13.5" customHeight="1">
      <c r="A46" s="40"/>
      <c r="B46" s="37"/>
      <c r="C46" s="60" t="str">
        <f t="shared" si="3"/>
        <v>구리</v>
      </c>
      <c r="D46" s="88"/>
      <c r="E46" s="219"/>
      <c r="F46" s="112" t="str">
        <f t="shared" si="6"/>
        <v/>
      </c>
      <c r="G46" s="238"/>
      <c r="H46" s="931" t="s">
        <v>536</v>
      </c>
      <c r="I46" s="244"/>
      <c r="J46" s="1296">
        <v>1</v>
      </c>
      <c r="K46" s="1297"/>
      <c r="L46" s="1298"/>
      <c r="M46" s="1293" t="s">
        <v>531</v>
      </c>
      <c r="N46" s="1294"/>
      <c r="O46" s="1294"/>
      <c r="P46" s="1294"/>
      <c r="Q46" s="1294"/>
      <c r="R46" s="1294"/>
      <c r="S46" s="1294"/>
      <c r="T46" s="1294"/>
      <c r="U46" s="1295"/>
      <c r="V46" s="88"/>
      <c r="W46" s="88"/>
      <c r="X46" s="88"/>
      <c r="Y46" s="88"/>
      <c r="Z46" s="145" t="s">
        <v>831</v>
      </c>
      <c r="AA46" s="88"/>
      <c r="AB46" s="88"/>
      <c r="AC46" s="88"/>
      <c r="AD46" s="88"/>
      <c r="AE46" s="61"/>
      <c r="AF46" s="37"/>
      <c r="AG46" s="795">
        <v>1.6E-2</v>
      </c>
      <c r="AH46" s="85" t="s">
        <v>946</v>
      </c>
      <c r="AI46" s="228">
        <v>3</v>
      </c>
      <c r="AJ46" s="805" t="s">
        <v>470</v>
      </c>
      <c r="AK46" s="108"/>
      <c r="AL46" s="800">
        <f t="shared" si="1"/>
        <v>2</v>
      </c>
      <c r="AN46" s="88"/>
      <c r="AO46" s="847" t="s">
        <v>1220</v>
      </c>
      <c r="AP46" s="818"/>
      <c r="AQ46" s="820"/>
      <c r="AR46" s="820"/>
      <c r="AS46" s="821"/>
      <c r="AT46" s="37"/>
      <c r="AU46" s="37"/>
      <c r="AV46" s="37"/>
    </row>
    <row r="47" spans="1:60" ht="13.5" customHeight="1">
      <c r="A47" s="40"/>
      <c r="B47" s="37"/>
      <c r="C47" s="60" t="str">
        <f t="shared" si="3"/>
        <v>니켈</v>
      </c>
      <c r="D47" s="88"/>
      <c r="E47" s="219"/>
      <c r="F47" s="112" t="str">
        <f t="shared" si="6"/>
        <v/>
      </c>
      <c r="G47" s="238"/>
      <c r="H47" s="931" t="s">
        <v>536</v>
      </c>
      <c r="I47" s="244"/>
      <c r="J47" s="1296">
        <v>1</v>
      </c>
      <c r="K47" s="1297"/>
      <c r="L47" s="1298"/>
      <c r="M47" s="1293" t="s">
        <v>531</v>
      </c>
      <c r="N47" s="1294"/>
      <c r="O47" s="1294"/>
      <c r="P47" s="1294"/>
      <c r="Q47" s="1294"/>
      <c r="R47" s="1294"/>
      <c r="S47" s="1294"/>
      <c r="T47" s="1294"/>
      <c r="U47" s="1295"/>
      <c r="V47" s="88"/>
      <c r="W47" s="88"/>
      <c r="X47" s="88"/>
      <c r="Y47" s="88"/>
      <c r="Z47" s="145" t="s">
        <v>831</v>
      </c>
      <c r="AA47" s="88"/>
      <c r="AB47" s="88"/>
      <c r="AC47" s="88"/>
      <c r="AD47" s="88"/>
      <c r="AE47" s="61"/>
      <c r="AF47" s="37"/>
      <c r="AG47" s="795">
        <v>2E-3</v>
      </c>
      <c r="AH47" s="85" t="s">
        <v>946</v>
      </c>
      <c r="AI47" s="228">
        <v>3</v>
      </c>
      <c r="AJ47" s="805" t="s">
        <v>468</v>
      </c>
      <c r="AK47" s="108"/>
      <c r="AL47" s="800">
        <f t="shared" si="1"/>
        <v>2</v>
      </c>
      <c r="AM47" s="88"/>
      <c r="AN47" s="88"/>
      <c r="AO47" s="847" t="s">
        <v>1214</v>
      </c>
      <c r="AP47" s="818"/>
      <c r="AQ47" s="820"/>
      <c r="AR47" s="820"/>
      <c r="AS47" s="821"/>
      <c r="AT47" s="37"/>
      <c r="AU47" s="37"/>
      <c r="AV47" s="37"/>
    </row>
    <row r="48" spans="1:60" ht="13.5" customHeight="1">
      <c r="A48" s="40"/>
      <c r="B48" s="37"/>
      <c r="C48" s="60" t="str">
        <f t="shared" si="3"/>
        <v>납</v>
      </c>
      <c r="D48" s="88"/>
      <c r="E48" s="219"/>
      <c r="F48" s="112" t="str">
        <f t="shared" si="6"/>
        <v/>
      </c>
      <c r="G48" s="239"/>
      <c r="H48" s="931" t="s">
        <v>536</v>
      </c>
      <c r="I48" s="245"/>
      <c r="J48" s="1296">
        <v>1</v>
      </c>
      <c r="K48" s="1297"/>
      <c r="L48" s="1298"/>
      <c r="M48" s="1293" t="s">
        <v>531</v>
      </c>
      <c r="N48" s="1294"/>
      <c r="O48" s="1294"/>
      <c r="P48" s="1294"/>
      <c r="Q48" s="1294"/>
      <c r="R48" s="1294"/>
      <c r="S48" s="1294"/>
      <c r="T48" s="1294"/>
      <c r="U48" s="1295"/>
      <c r="V48" s="88"/>
      <c r="W48" s="88"/>
      <c r="X48" s="88"/>
      <c r="Y48" s="88"/>
      <c r="Z48" s="145" t="s">
        <v>831</v>
      </c>
      <c r="AA48" s="88"/>
      <c r="AB48" s="88"/>
      <c r="AC48" s="88"/>
      <c r="AD48" s="88"/>
      <c r="AE48" s="61"/>
      <c r="AF48" s="37"/>
      <c r="AG48" s="795">
        <v>8.0000000000000002E-3</v>
      </c>
      <c r="AH48" s="85" t="s">
        <v>946</v>
      </c>
      <c r="AI48" s="228">
        <v>3</v>
      </c>
      <c r="AJ48" s="805" t="s">
        <v>471</v>
      </c>
      <c r="AK48" s="108"/>
      <c r="AL48" s="800">
        <f t="shared" si="1"/>
        <v>2</v>
      </c>
      <c r="AM48" s="88"/>
      <c r="AN48" s="88"/>
      <c r="AO48" s="847" t="s">
        <v>1210</v>
      </c>
      <c r="AP48" s="818"/>
      <c r="AQ48" s="820"/>
      <c r="AR48" s="820"/>
      <c r="AS48" s="821"/>
      <c r="AT48" s="37"/>
      <c r="AU48" s="37"/>
      <c r="AV48" s="37"/>
    </row>
    <row r="49" spans="1:48" ht="13.5" customHeight="1">
      <c r="A49" s="40"/>
      <c r="B49" s="37"/>
      <c r="C49" s="60" t="str">
        <f t="shared" si="3"/>
        <v>아연</v>
      </c>
      <c r="D49" s="88"/>
      <c r="E49" s="219"/>
      <c r="F49" s="112" t="str">
        <f t="shared" si="6"/>
        <v/>
      </c>
      <c r="G49" s="239"/>
      <c r="H49" s="931" t="s">
        <v>536</v>
      </c>
      <c r="I49" s="245"/>
      <c r="J49" s="1296">
        <v>1</v>
      </c>
      <c r="K49" s="1297"/>
      <c r="L49" s="1298"/>
      <c r="M49" s="1293" t="s">
        <v>531</v>
      </c>
      <c r="N49" s="1294"/>
      <c r="O49" s="1294"/>
      <c r="P49" s="1294"/>
      <c r="Q49" s="1294"/>
      <c r="R49" s="1294"/>
      <c r="S49" s="1294"/>
      <c r="T49" s="1294"/>
      <c r="U49" s="1295"/>
      <c r="V49" s="88"/>
      <c r="W49" s="88"/>
      <c r="X49" s="88"/>
      <c r="Y49" s="88"/>
      <c r="Z49" s="145" t="s">
        <v>831</v>
      </c>
      <c r="AA49" s="88"/>
      <c r="AB49" s="88"/>
      <c r="AC49" s="88"/>
      <c r="AD49" s="88"/>
      <c r="AE49" s="61"/>
      <c r="AF49" s="37"/>
      <c r="AG49" s="795">
        <v>1.6E-2</v>
      </c>
      <c r="AH49" s="85" t="s">
        <v>946</v>
      </c>
      <c r="AI49" s="228">
        <v>3</v>
      </c>
      <c r="AJ49" s="805" t="s">
        <v>469</v>
      </c>
      <c r="AK49" s="108"/>
      <c r="AL49" s="800">
        <f t="shared" si="1"/>
        <v>2</v>
      </c>
      <c r="AM49" s="88"/>
      <c r="AN49" s="88"/>
      <c r="AO49" s="847" t="s">
        <v>1219</v>
      </c>
      <c r="AP49" s="818"/>
      <c r="AQ49" s="820"/>
      <c r="AR49" s="820"/>
      <c r="AS49" s="821"/>
      <c r="AT49" s="37"/>
      <c r="AU49" s="37"/>
      <c r="AV49" s="37"/>
    </row>
    <row r="50" spans="1:48" ht="13.5" customHeight="1">
      <c r="A50" s="40"/>
      <c r="B50" s="37"/>
      <c r="C50" s="60" t="str">
        <f t="shared" si="3"/>
        <v>수은</v>
      </c>
      <c r="D50" s="88"/>
      <c r="E50" s="219"/>
      <c r="F50" s="894" t="str">
        <f t="shared" si="6"/>
        <v/>
      </c>
      <c r="G50" s="239"/>
      <c r="H50" s="931" t="s">
        <v>536</v>
      </c>
      <c r="I50" s="245"/>
      <c r="J50" s="1296">
        <v>1</v>
      </c>
      <c r="K50" s="1297"/>
      <c r="L50" s="1298"/>
      <c r="M50" s="1293" t="s">
        <v>770</v>
      </c>
      <c r="N50" s="1294"/>
      <c r="O50" s="1294"/>
      <c r="P50" s="1294"/>
      <c r="Q50" s="1294"/>
      <c r="R50" s="1294"/>
      <c r="S50" s="1294"/>
      <c r="T50" s="1294"/>
      <c r="U50" s="1295"/>
      <c r="V50" s="88"/>
      <c r="W50" s="88"/>
      <c r="X50" s="88"/>
      <c r="Y50" s="88"/>
      <c r="Z50" s="233" t="s">
        <v>1263</v>
      </c>
      <c r="AA50" s="88"/>
      <c r="AB50" s="88"/>
      <c r="AC50" s="88"/>
      <c r="AD50" s="88"/>
      <c r="AE50" s="61"/>
      <c r="AF50" s="37"/>
      <c r="AG50" s="796">
        <v>2.0000000000000001E-4</v>
      </c>
      <c r="AH50" s="85" t="s">
        <v>946</v>
      </c>
      <c r="AI50" s="228">
        <v>5</v>
      </c>
      <c r="AJ50" s="805" t="s">
        <v>839</v>
      </c>
      <c r="AK50" s="806"/>
      <c r="AL50" s="800">
        <f t="shared" si="1"/>
        <v>2</v>
      </c>
      <c r="AM50" s="88"/>
      <c r="AN50" s="88"/>
      <c r="AO50" s="847" t="s">
        <v>1212</v>
      </c>
      <c r="AP50" s="818"/>
      <c r="AQ50" s="822"/>
      <c r="AR50" s="823"/>
      <c r="AS50" s="821"/>
      <c r="AT50" s="37"/>
      <c r="AU50" s="37"/>
      <c r="AV50" s="37"/>
    </row>
    <row r="51" spans="1:48" ht="13.5" customHeight="1">
      <c r="A51" s="87"/>
      <c r="B51" s="38"/>
      <c r="C51" s="60"/>
      <c r="D51" s="38"/>
      <c r="E51" s="38"/>
      <c r="F51" s="234" t="str">
        <f t="shared" si="6"/>
        <v/>
      </c>
      <c r="G51" s="238"/>
      <c r="H51" s="929"/>
      <c r="I51" s="244"/>
      <c r="J51" s="1300"/>
      <c r="K51" s="1299"/>
      <c r="L51" s="1301"/>
      <c r="M51" s="1293"/>
      <c r="N51" s="1294"/>
      <c r="O51" s="1294"/>
      <c r="P51" s="1294"/>
      <c r="Q51" s="1294"/>
      <c r="R51" s="1294"/>
      <c r="S51" s="1294"/>
      <c r="T51" s="1294"/>
      <c r="U51" s="1295"/>
      <c r="V51" s="232"/>
      <c r="W51" s="88"/>
      <c r="X51" s="88"/>
      <c r="Y51" s="88"/>
      <c r="Z51" s="60"/>
      <c r="AA51" s="88"/>
      <c r="AB51" s="88"/>
      <c r="AC51" s="88"/>
      <c r="AD51" s="88"/>
      <c r="AE51" s="61"/>
      <c r="AF51" s="37"/>
      <c r="AG51" s="795"/>
      <c r="AH51" s="85"/>
      <c r="AI51" s="228"/>
      <c r="AJ51" s="807"/>
      <c r="AK51" s="806"/>
      <c r="AL51" s="800"/>
      <c r="AM51" s="88"/>
      <c r="AN51" s="88"/>
      <c r="AO51" s="38"/>
      <c r="AP51" s="824"/>
      <c r="AQ51" s="816"/>
      <c r="AR51" s="816"/>
      <c r="AS51" s="816"/>
      <c r="AT51" s="37"/>
      <c r="AU51" s="37"/>
      <c r="AV51" s="37"/>
    </row>
    <row r="52" spans="1:48" ht="13.5" customHeight="1">
      <c r="A52" s="87"/>
      <c r="B52" s="38"/>
      <c r="C52" s="60" t="str">
        <f t="shared" si="3"/>
        <v>염화바이닐</v>
      </c>
      <c r="D52" s="88"/>
      <c r="E52" s="219"/>
      <c r="F52" s="892" t="str">
        <f t="shared" si="6"/>
        <v/>
      </c>
      <c r="G52" s="238"/>
      <c r="H52" s="930"/>
      <c r="I52" s="244"/>
      <c r="J52" s="1287">
        <v>1</v>
      </c>
      <c r="K52" s="1288"/>
      <c r="L52" s="1289"/>
      <c r="M52" s="1293" t="s">
        <v>532</v>
      </c>
      <c r="N52" s="1294"/>
      <c r="O52" s="1294"/>
      <c r="P52" s="1294"/>
      <c r="Q52" s="1294"/>
      <c r="R52" s="1294"/>
      <c r="S52" s="1294"/>
      <c r="T52" s="1294"/>
      <c r="U52" s="1295"/>
      <c r="V52" s="88"/>
      <c r="W52" s="88"/>
      <c r="X52" s="88"/>
      <c r="Y52" s="88"/>
      <c r="Z52" s="215" t="s">
        <v>830</v>
      </c>
      <c r="AA52" s="88"/>
      <c r="AB52" s="88"/>
      <c r="AC52" s="88"/>
      <c r="AD52" s="88"/>
      <c r="AE52" s="61"/>
      <c r="AF52" s="37"/>
      <c r="AG52" s="797">
        <v>0.03</v>
      </c>
      <c r="AH52" s="85" t="s">
        <v>505</v>
      </c>
      <c r="AI52" s="228">
        <v>2</v>
      </c>
      <c r="AJ52" s="808" t="s">
        <v>750</v>
      </c>
      <c r="AK52" s="806"/>
      <c r="AL52" s="800">
        <f t="shared" si="1"/>
        <v>2</v>
      </c>
      <c r="AM52" s="88"/>
      <c r="AN52" s="88"/>
      <c r="AO52" s="849" t="s">
        <v>1215</v>
      </c>
      <c r="AP52" s="819"/>
      <c r="AQ52" s="825"/>
      <c r="AR52" s="817"/>
      <c r="AS52" s="826"/>
      <c r="AT52" s="37"/>
      <c r="AU52" s="37"/>
      <c r="AV52" s="37"/>
    </row>
    <row r="53" spans="1:48" ht="13.5" customHeight="1">
      <c r="A53" s="87"/>
      <c r="B53" s="38"/>
      <c r="C53" s="60" t="str">
        <f t="shared" si="3"/>
        <v>1,3-뷰타다이엔</v>
      </c>
      <c r="D53" s="88"/>
      <c r="E53" s="219"/>
      <c r="F53" s="892" t="str">
        <f t="shared" si="6"/>
        <v/>
      </c>
      <c r="G53" s="238"/>
      <c r="H53" s="930"/>
      <c r="I53" s="244"/>
      <c r="J53" s="1287">
        <v>1</v>
      </c>
      <c r="K53" s="1288"/>
      <c r="L53" s="1289"/>
      <c r="M53" s="1293" t="s">
        <v>532</v>
      </c>
      <c r="N53" s="1294"/>
      <c r="O53" s="1294"/>
      <c r="P53" s="1294"/>
      <c r="Q53" s="1294"/>
      <c r="R53" s="1294"/>
      <c r="S53" s="1294"/>
      <c r="T53" s="1294"/>
      <c r="U53" s="1295"/>
      <c r="V53" s="88"/>
      <c r="W53" s="88"/>
      <c r="X53" s="88"/>
      <c r="Y53" s="88"/>
      <c r="Z53" s="215" t="s">
        <v>830</v>
      </c>
      <c r="AA53" s="88"/>
      <c r="AB53" s="88"/>
      <c r="AC53" s="88"/>
      <c r="AD53" s="88"/>
      <c r="AE53" s="61"/>
      <c r="AF53" s="37"/>
      <c r="AG53" s="797">
        <v>0.03</v>
      </c>
      <c r="AH53" s="85" t="s">
        <v>505</v>
      </c>
      <c r="AI53" s="228">
        <v>2</v>
      </c>
      <c r="AJ53" s="809" t="s">
        <v>751</v>
      </c>
      <c r="AK53" s="791" t="s">
        <v>618</v>
      </c>
      <c r="AL53" s="800">
        <f t="shared" si="1"/>
        <v>2</v>
      </c>
      <c r="AM53" s="88"/>
      <c r="AN53" s="88"/>
      <c r="AO53" s="848" t="s">
        <v>1217</v>
      </c>
      <c r="AP53" s="819"/>
      <c r="AQ53" s="825"/>
      <c r="AR53" s="817"/>
      <c r="AS53" s="826"/>
    </row>
    <row r="54" spans="1:48" ht="13.5" customHeight="1">
      <c r="A54" s="86"/>
      <c r="B54" s="65"/>
      <c r="C54" s="60" t="str">
        <f t="shared" si="3"/>
        <v>다이클로로메테인</v>
      </c>
      <c r="D54" s="88"/>
      <c r="E54" s="219"/>
      <c r="F54" s="892" t="str">
        <f t="shared" si="6"/>
        <v/>
      </c>
      <c r="G54" s="240"/>
      <c r="H54" s="926"/>
      <c r="I54" s="246"/>
      <c r="J54" s="1287">
        <v>1</v>
      </c>
      <c r="K54" s="1288"/>
      <c r="L54" s="1289"/>
      <c r="M54" s="1293" t="s">
        <v>532</v>
      </c>
      <c r="N54" s="1294"/>
      <c r="O54" s="1294"/>
      <c r="P54" s="1294"/>
      <c r="Q54" s="1294"/>
      <c r="R54" s="1294"/>
      <c r="S54" s="1294"/>
      <c r="T54" s="1294"/>
      <c r="U54" s="1295"/>
      <c r="V54" s="88"/>
      <c r="W54" s="88"/>
      <c r="X54" s="88"/>
      <c r="Y54" s="88"/>
      <c r="Z54" s="215" t="s">
        <v>830</v>
      </c>
      <c r="AA54" s="88"/>
      <c r="AB54" s="88"/>
      <c r="AC54" s="88"/>
      <c r="AD54" s="88"/>
      <c r="AE54" s="61"/>
      <c r="AF54" s="37"/>
      <c r="AG54" s="797">
        <v>0.03</v>
      </c>
      <c r="AH54" s="85" t="s">
        <v>505</v>
      </c>
      <c r="AI54" s="228">
        <v>2</v>
      </c>
      <c r="AJ54" s="810" t="s">
        <v>752</v>
      </c>
      <c r="AK54" s="138" t="e">
        <f t="shared" ref="AK54:AK63" si="7">G54*($AH$79*(273/(273+$AI$79))*(($Q$17+$AK$79)/760))</f>
        <v>#N/A</v>
      </c>
      <c r="AL54" s="800">
        <f t="shared" si="1"/>
        <v>2</v>
      </c>
      <c r="AM54" s="88"/>
      <c r="AN54" s="88"/>
      <c r="AO54" s="217" t="s">
        <v>1199</v>
      </c>
      <c r="AP54" s="819"/>
      <c r="AQ54" s="825"/>
      <c r="AR54" s="817"/>
      <c r="AS54" s="826"/>
    </row>
    <row r="55" spans="1:48" ht="13.5" customHeight="1">
      <c r="A55" s="86"/>
      <c r="B55" s="65"/>
      <c r="C55" s="60" t="str">
        <f t="shared" si="3"/>
        <v>아크릴로나이트릴</v>
      </c>
      <c r="D55" s="88"/>
      <c r="E55" s="219"/>
      <c r="F55" s="892" t="str">
        <f t="shared" si="6"/>
        <v/>
      </c>
      <c r="G55" s="240"/>
      <c r="H55" s="930"/>
      <c r="I55" s="246"/>
      <c r="J55" s="1287">
        <v>1</v>
      </c>
      <c r="K55" s="1288"/>
      <c r="L55" s="1289"/>
      <c r="M55" s="1293" t="s">
        <v>532</v>
      </c>
      <c r="N55" s="1294"/>
      <c r="O55" s="1294"/>
      <c r="P55" s="1294"/>
      <c r="Q55" s="1294"/>
      <c r="R55" s="1294"/>
      <c r="S55" s="1294"/>
      <c r="T55" s="1294"/>
      <c r="U55" s="1295"/>
      <c r="V55" s="88"/>
      <c r="W55" s="88"/>
      <c r="X55" s="88"/>
      <c r="Y55" s="88"/>
      <c r="Z55" s="215" t="s">
        <v>830</v>
      </c>
      <c r="AA55" s="88"/>
      <c r="AB55" s="88"/>
      <c r="AC55" s="88"/>
      <c r="AD55" s="88"/>
      <c r="AE55" s="61"/>
      <c r="AF55" s="37"/>
      <c r="AG55" s="797">
        <v>0.03</v>
      </c>
      <c r="AH55" s="85" t="s">
        <v>505</v>
      </c>
      <c r="AI55" s="228">
        <v>2</v>
      </c>
      <c r="AJ55" s="809" t="s">
        <v>753</v>
      </c>
      <c r="AK55" s="138" t="e">
        <f t="shared" si="7"/>
        <v>#N/A</v>
      </c>
      <c r="AL55" s="800">
        <f t="shared" si="1"/>
        <v>2</v>
      </c>
      <c r="AM55" s="88"/>
      <c r="AN55" s="88"/>
      <c r="AO55" s="214" t="s">
        <v>1200</v>
      </c>
      <c r="AP55" s="819"/>
      <c r="AQ55" s="825"/>
      <c r="AR55" s="817"/>
      <c r="AS55" s="826"/>
    </row>
    <row r="56" spans="1:48" ht="13.5" customHeight="1">
      <c r="A56" s="86"/>
      <c r="B56" s="65"/>
      <c r="C56" s="60" t="str">
        <f t="shared" si="3"/>
        <v>클로로폼</v>
      </c>
      <c r="D56" s="88"/>
      <c r="E56" s="219"/>
      <c r="F56" s="892" t="str">
        <f t="shared" si="6"/>
        <v/>
      </c>
      <c r="G56" s="240"/>
      <c r="H56" s="930"/>
      <c r="I56" s="246"/>
      <c r="J56" s="1287">
        <v>1</v>
      </c>
      <c r="K56" s="1288"/>
      <c r="L56" s="1289"/>
      <c r="M56" s="1293" t="s">
        <v>532</v>
      </c>
      <c r="N56" s="1294"/>
      <c r="O56" s="1294"/>
      <c r="P56" s="1294"/>
      <c r="Q56" s="1294"/>
      <c r="R56" s="1294"/>
      <c r="S56" s="1294"/>
      <c r="T56" s="1294"/>
      <c r="U56" s="1295"/>
      <c r="V56" s="88"/>
      <c r="W56" s="88"/>
      <c r="X56" s="88"/>
      <c r="Y56" s="88"/>
      <c r="Z56" s="215" t="s">
        <v>830</v>
      </c>
      <c r="AA56" s="88"/>
      <c r="AB56" s="88"/>
      <c r="AC56" s="88"/>
      <c r="AD56" s="88"/>
      <c r="AE56" s="61"/>
      <c r="AF56" s="37"/>
      <c r="AG56" s="797">
        <v>0.03</v>
      </c>
      <c r="AH56" s="85" t="s">
        <v>505</v>
      </c>
      <c r="AI56" s="228">
        <v>2</v>
      </c>
      <c r="AJ56" s="810" t="s">
        <v>754</v>
      </c>
      <c r="AK56" s="138" t="e">
        <f t="shared" si="7"/>
        <v>#N/A</v>
      </c>
      <c r="AL56" s="800">
        <f t="shared" si="1"/>
        <v>2</v>
      </c>
      <c r="AM56" s="88"/>
      <c r="AN56" s="88"/>
      <c r="AO56" s="851" t="s">
        <v>1216</v>
      </c>
      <c r="AP56" s="819"/>
      <c r="AQ56" s="825"/>
      <c r="AR56" s="817"/>
      <c r="AS56" s="826"/>
    </row>
    <row r="57" spans="1:48" ht="13.5" customHeight="1">
      <c r="A57" s="86"/>
      <c r="B57" s="65"/>
      <c r="C57" s="60" t="str">
        <f t="shared" si="3"/>
        <v>사염화탄소</v>
      </c>
      <c r="D57" s="88"/>
      <c r="E57" s="219"/>
      <c r="F57" s="892" t="str">
        <f t="shared" si="6"/>
        <v/>
      </c>
      <c r="G57" s="240"/>
      <c r="H57" s="930"/>
      <c r="I57" s="246"/>
      <c r="J57" s="1287">
        <v>1</v>
      </c>
      <c r="K57" s="1288"/>
      <c r="L57" s="1289"/>
      <c r="M57" s="1293" t="s">
        <v>532</v>
      </c>
      <c r="N57" s="1294"/>
      <c r="O57" s="1294"/>
      <c r="P57" s="1294"/>
      <c r="Q57" s="1294"/>
      <c r="R57" s="1294"/>
      <c r="S57" s="1294"/>
      <c r="T57" s="1294"/>
      <c r="U57" s="1295"/>
      <c r="V57" s="88"/>
      <c r="W57" s="88"/>
      <c r="X57" s="88"/>
      <c r="Y57" s="88"/>
      <c r="Z57" s="215" t="s">
        <v>830</v>
      </c>
      <c r="AA57" s="88"/>
      <c r="AB57" s="88"/>
      <c r="AC57" s="88"/>
      <c r="AD57" s="88"/>
      <c r="AE57" s="61"/>
      <c r="AF57" s="37"/>
      <c r="AG57" s="797">
        <v>0.03</v>
      </c>
      <c r="AH57" s="85" t="s">
        <v>505</v>
      </c>
      <c r="AI57" s="228">
        <v>2</v>
      </c>
      <c r="AJ57" s="810" t="s">
        <v>755</v>
      </c>
      <c r="AK57" s="138" t="e">
        <f t="shared" si="7"/>
        <v>#N/A</v>
      </c>
      <c r="AL57" s="800">
        <f t="shared" si="1"/>
        <v>2</v>
      </c>
      <c r="AM57" s="88"/>
      <c r="AN57" s="88"/>
      <c r="AO57" s="217" t="s">
        <v>755</v>
      </c>
      <c r="AP57" s="819"/>
      <c r="AQ57" s="825"/>
      <c r="AR57" s="817"/>
      <c r="AS57" s="826"/>
    </row>
    <row r="58" spans="1:48" ht="13.5" customHeight="1">
      <c r="A58" s="86"/>
      <c r="B58" s="65"/>
      <c r="C58" s="60" t="str">
        <f t="shared" si="3"/>
        <v>벤젠</v>
      </c>
      <c r="D58" s="88"/>
      <c r="E58" s="219"/>
      <c r="F58" s="892" t="str">
        <f t="shared" si="6"/>
        <v/>
      </c>
      <c r="G58" s="240"/>
      <c r="H58" s="930"/>
      <c r="I58" s="246"/>
      <c r="J58" s="1287">
        <v>1</v>
      </c>
      <c r="K58" s="1288"/>
      <c r="L58" s="1289"/>
      <c r="M58" s="1293" t="s">
        <v>532</v>
      </c>
      <c r="N58" s="1294"/>
      <c r="O58" s="1294"/>
      <c r="P58" s="1294"/>
      <c r="Q58" s="1294"/>
      <c r="R58" s="1294"/>
      <c r="S58" s="1294"/>
      <c r="T58" s="1294"/>
      <c r="U58" s="1295"/>
      <c r="V58" s="88"/>
      <c r="W58" s="88"/>
      <c r="X58" s="88"/>
      <c r="Y58" s="88"/>
      <c r="Z58" s="215" t="s">
        <v>830</v>
      </c>
      <c r="AA58" s="88"/>
      <c r="AB58" s="88"/>
      <c r="AC58" s="88"/>
      <c r="AD58" s="88"/>
      <c r="AE58" s="61"/>
      <c r="AF58" s="37"/>
      <c r="AG58" s="797">
        <v>0.03</v>
      </c>
      <c r="AH58" s="85" t="s">
        <v>505</v>
      </c>
      <c r="AI58" s="228">
        <v>2</v>
      </c>
      <c r="AJ58" s="810" t="s">
        <v>756</v>
      </c>
      <c r="AK58" s="138" t="e">
        <f t="shared" si="7"/>
        <v>#N/A</v>
      </c>
      <c r="AL58" s="800">
        <f t="shared" si="1"/>
        <v>2</v>
      </c>
      <c r="AM58" s="88"/>
      <c r="AN58" s="88"/>
      <c r="AO58" s="217" t="s">
        <v>756</v>
      </c>
      <c r="AP58" s="819"/>
      <c r="AQ58" s="825"/>
      <c r="AR58" s="817"/>
      <c r="AS58" s="826"/>
      <c r="AT58" s="37"/>
      <c r="AU58" s="37"/>
      <c r="AV58" s="37"/>
    </row>
    <row r="59" spans="1:48" ht="13.5" customHeight="1">
      <c r="A59" s="86"/>
      <c r="B59" s="37"/>
      <c r="C59" s="60" t="str">
        <f t="shared" si="3"/>
        <v>1,2-다이클로로에테인</v>
      </c>
      <c r="D59" s="88"/>
      <c r="E59" s="219"/>
      <c r="F59" s="892" t="str">
        <f t="shared" si="6"/>
        <v/>
      </c>
      <c r="G59" s="240"/>
      <c r="H59" s="930"/>
      <c r="I59" s="246"/>
      <c r="J59" s="1287">
        <v>1</v>
      </c>
      <c r="K59" s="1288"/>
      <c r="L59" s="1289"/>
      <c r="M59" s="1293" t="s">
        <v>532</v>
      </c>
      <c r="N59" s="1294"/>
      <c r="O59" s="1294"/>
      <c r="P59" s="1294"/>
      <c r="Q59" s="1294"/>
      <c r="R59" s="1294"/>
      <c r="S59" s="1294"/>
      <c r="T59" s="1294"/>
      <c r="U59" s="1295"/>
      <c r="V59" s="88"/>
      <c r="W59" s="88"/>
      <c r="X59" s="88"/>
      <c r="Y59" s="88"/>
      <c r="Z59" s="215" t="s">
        <v>830</v>
      </c>
      <c r="AA59" s="88"/>
      <c r="AB59" s="88"/>
      <c r="AC59" s="88"/>
      <c r="AD59" s="88"/>
      <c r="AE59" s="61"/>
      <c r="AF59" s="37"/>
      <c r="AG59" s="797">
        <v>0.03</v>
      </c>
      <c r="AH59" s="85" t="s">
        <v>505</v>
      </c>
      <c r="AI59" s="228">
        <v>2</v>
      </c>
      <c r="AJ59" s="810" t="s">
        <v>757</v>
      </c>
      <c r="AK59" s="138" t="e">
        <f t="shared" si="7"/>
        <v>#N/A</v>
      </c>
      <c r="AL59" s="800">
        <f t="shared" si="1"/>
        <v>2</v>
      </c>
      <c r="AM59" s="88"/>
      <c r="AN59" s="88"/>
      <c r="AO59" s="851" t="s">
        <v>1221</v>
      </c>
      <c r="AP59" s="819"/>
      <c r="AQ59" s="825"/>
      <c r="AR59" s="817"/>
      <c r="AS59" s="826"/>
      <c r="AT59" s="37"/>
      <c r="AU59" s="37"/>
      <c r="AV59" s="37"/>
    </row>
    <row r="60" spans="1:48" ht="13.5" customHeight="1">
      <c r="A60" s="40"/>
      <c r="B60" s="37"/>
      <c r="C60" s="60" t="str">
        <f t="shared" si="3"/>
        <v>트라이클로로에틸렌</v>
      </c>
      <c r="D60" s="88"/>
      <c r="E60" s="219"/>
      <c r="F60" s="892" t="str">
        <f t="shared" si="6"/>
        <v/>
      </c>
      <c r="G60" s="240"/>
      <c r="H60" s="930"/>
      <c r="I60" s="246"/>
      <c r="J60" s="1287">
        <v>1</v>
      </c>
      <c r="K60" s="1288"/>
      <c r="L60" s="1289"/>
      <c r="M60" s="1293" t="s">
        <v>532</v>
      </c>
      <c r="N60" s="1294"/>
      <c r="O60" s="1294"/>
      <c r="P60" s="1294"/>
      <c r="Q60" s="1294"/>
      <c r="R60" s="1294"/>
      <c r="S60" s="1294"/>
      <c r="T60" s="1294"/>
      <c r="U60" s="1295"/>
      <c r="V60" s="88"/>
      <c r="W60" s="88"/>
      <c r="X60" s="88"/>
      <c r="Y60" s="88"/>
      <c r="Z60" s="215" t="s">
        <v>830</v>
      </c>
      <c r="AA60" s="88"/>
      <c r="AB60" s="88"/>
      <c r="AC60" s="88"/>
      <c r="AD60" s="88"/>
      <c r="AE60" s="61"/>
      <c r="AF60" s="37"/>
      <c r="AG60" s="797">
        <v>0.03</v>
      </c>
      <c r="AH60" s="85" t="s">
        <v>505</v>
      </c>
      <c r="AI60" s="228">
        <v>2</v>
      </c>
      <c r="AJ60" s="811" t="s">
        <v>758</v>
      </c>
      <c r="AK60" s="138" t="e">
        <f t="shared" si="7"/>
        <v>#N/A</v>
      </c>
      <c r="AL60" s="800">
        <f t="shared" si="1"/>
        <v>2</v>
      </c>
      <c r="AM60" s="88"/>
      <c r="AN60" s="88"/>
      <c r="AO60" s="851" t="s">
        <v>1222</v>
      </c>
      <c r="AP60" s="819"/>
      <c r="AQ60" s="825"/>
      <c r="AR60" s="817"/>
      <c r="AS60" s="826"/>
      <c r="AT60" s="37"/>
      <c r="AU60" s="37"/>
      <c r="AV60" s="37"/>
    </row>
    <row r="61" spans="1:48" ht="13.5" customHeight="1">
      <c r="A61" s="40"/>
      <c r="B61" s="37"/>
      <c r="C61" s="60" t="str">
        <f t="shared" si="3"/>
        <v>테트라클로로에틸렌</v>
      </c>
      <c r="D61" s="88"/>
      <c r="E61" s="219"/>
      <c r="F61" s="892" t="str">
        <f t="shared" si="6"/>
        <v/>
      </c>
      <c r="G61" s="240"/>
      <c r="H61" s="932"/>
      <c r="I61" s="246"/>
      <c r="J61" s="1287">
        <v>1</v>
      </c>
      <c r="K61" s="1288"/>
      <c r="L61" s="1289"/>
      <c r="M61" s="1293" t="s">
        <v>532</v>
      </c>
      <c r="N61" s="1294"/>
      <c r="O61" s="1294"/>
      <c r="P61" s="1294"/>
      <c r="Q61" s="1294"/>
      <c r="R61" s="1294"/>
      <c r="S61" s="1294"/>
      <c r="T61" s="1294"/>
      <c r="U61" s="1295"/>
      <c r="V61" s="88"/>
      <c r="W61" s="88"/>
      <c r="X61" s="88"/>
      <c r="Y61" s="88"/>
      <c r="Z61" s="215" t="s">
        <v>830</v>
      </c>
      <c r="AA61" s="88"/>
      <c r="AB61" s="88"/>
      <c r="AC61" s="88"/>
      <c r="AD61" s="88"/>
      <c r="AE61" s="61"/>
      <c r="AF61" s="37"/>
      <c r="AG61" s="797">
        <v>0.03</v>
      </c>
      <c r="AH61" s="85" t="s">
        <v>505</v>
      </c>
      <c r="AI61" s="228">
        <v>2</v>
      </c>
      <c r="AJ61" s="811" t="s">
        <v>760</v>
      </c>
      <c r="AK61" s="138" t="e">
        <f t="shared" si="7"/>
        <v>#N/A</v>
      </c>
      <c r="AL61" s="800">
        <f t="shared" si="1"/>
        <v>2</v>
      </c>
      <c r="AM61" s="88"/>
      <c r="AN61" s="88"/>
      <c r="AO61" s="225" t="s">
        <v>760</v>
      </c>
      <c r="AP61" s="819"/>
      <c r="AQ61" s="825"/>
      <c r="AR61" s="817"/>
      <c r="AS61" s="826"/>
      <c r="AT61" s="37"/>
      <c r="AU61" s="37"/>
      <c r="AV61" s="37"/>
    </row>
    <row r="62" spans="1:48" ht="13.5" customHeight="1">
      <c r="A62" s="139"/>
      <c r="B62" s="140"/>
      <c r="C62" s="60" t="str">
        <f t="shared" si="3"/>
        <v>에틸벤젠</v>
      </c>
      <c r="D62" s="141"/>
      <c r="E62" s="222"/>
      <c r="F62" s="892" t="str">
        <f t="shared" si="6"/>
        <v/>
      </c>
      <c r="G62" s="240"/>
      <c r="H62" s="926"/>
      <c r="I62" s="246"/>
      <c r="J62" s="1287">
        <v>1</v>
      </c>
      <c r="K62" s="1288"/>
      <c r="L62" s="1289"/>
      <c r="M62" s="1293" t="s">
        <v>532</v>
      </c>
      <c r="N62" s="1294"/>
      <c r="O62" s="1294"/>
      <c r="P62" s="1294"/>
      <c r="Q62" s="1294"/>
      <c r="R62" s="1294"/>
      <c r="S62" s="1294"/>
      <c r="T62" s="1294"/>
      <c r="U62" s="1295"/>
      <c r="V62" s="141"/>
      <c r="W62" s="141"/>
      <c r="X62" s="141"/>
      <c r="Y62" s="141"/>
      <c r="Z62" s="215" t="s">
        <v>830</v>
      </c>
      <c r="AA62" s="141"/>
      <c r="AB62" s="141"/>
      <c r="AC62" s="141"/>
      <c r="AD62" s="141"/>
      <c r="AE62" s="142"/>
      <c r="AF62" s="37"/>
      <c r="AG62" s="797">
        <v>0.03</v>
      </c>
      <c r="AH62" s="85" t="s">
        <v>505</v>
      </c>
      <c r="AI62" s="228">
        <v>2</v>
      </c>
      <c r="AJ62" s="811" t="s">
        <v>761</v>
      </c>
      <c r="AK62" s="138" t="e">
        <f t="shared" si="7"/>
        <v>#N/A</v>
      </c>
      <c r="AL62" s="800">
        <f t="shared" si="1"/>
        <v>2</v>
      </c>
      <c r="AM62" s="88"/>
      <c r="AN62" s="88"/>
      <c r="AO62" s="225" t="s">
        <v>761</v>
      </c>
      <c r="AP62" s="819"/>
      <c r="AQ62" s="825"/>
      <c r="AR62" s="817"/>
      <c r="AS62" s="826"/>
      <c r="AT62" s="37"/>
      <c r="AU62" s="37"/>
      <c r="AV62" s="37"/>
    </row>
    <row r="63" spans="1:48" ht="13.5" customHeight="1">
      <c r="A63" s="139"/>
      <c r="B63" s="143"/>
      <c r="C63" s="60" t="str">
        <f t="shared" si="3"/>
        <v>스타이렌</v>
      </c>
      <c r="D63" s="141"/>
      <c r="E63" s="222"/>
      <c r="F63" s="892" t="str">
        <f t="shared" si="6"/>
        <v/>
      </c>
      <c r="G63" s="240"/>
      <c r="H63" s="930"/>
      <c r="I63" s="246"/>
      <c r="J63" s="1287">
        <v>1</v>
      </c>
      <c r="K63" s="1288"/>
      <c r="L63" s="1289"/>
      <c r="M63" s="1293" t="s">
        <v>532</v>
      </c>
      <c r="N63" s="1294"/>
      <c r="O63" s="1294"/>
      <c r="P63" s="1294"/>
      <c r="Q63" s="1294"/>
      <c r="R63" s="1294"/>
      <c r="S63" s="1294"/>
      <c r="T63" s="1294"/>
      <c r="U63" s="1295"/>
      <c r="V63" s="141"/>
      <c r="W63" s="141"/>
      <c r="X63" s="141"/>
      <c r="Y63" s="141"/>
      <c r="Z63" s="215" t="s">
        <v>830</v>
      </c>
      <c r="AA63" s="141"/>
      <c r="AB63" s="141"/>
      <c r="AC63" s="141"/>
      <c r="AD63" s="141"/>
      <c r="AE63" s="142"/>
      <c r="AF63" s="37"/>
      <c r="AG63" s="797">
        <v>0.03</v>
      </c>
      <c r="AH63" s="85" t="s">
        <v>505</v>
      </c>
      <c r="AI63" s="228">
        <v>2</v>
      </c>
      <c r="AJ63" s="809" t="s">
        <v>763</v>
      </c>
      <c r="AK63" s="138" t="e">
        <f t="shared" si="7"/>
        <v>#N/A</v>
      </c>
      <c r="AL63" s="800">
        <f t="shared" si="1"/>
        <v>2</v>
      </c>
      <c r="AM63" s="88"/>
      <c r="AN63" s="88"/>
      <c r="AO63" s="214" t="s">
        <v>1201</v>
      </c>
      <c r="AP63" s="819"/>
      <c r="AQ63" s="825"/>
      <c r="AR63" s="817"/>
      <c r="AS63" s="826"/>
      <c r="AT63" s="37"/>
      <c r="AU63" s="37"/>
      <c r="AV63" s="37"/>
    </row>
    <row r="64" spans="1:48" ht="13.5" customHeight="1">
      <c r="A64" s="139"/>
      <c r="B64" s="143"/>
      <c r="C64" s="60" t="s">
        <v>1247</v>
      </c>
      <c r="D64" s="141"/>
      <c r="E64" s="222"/>
      <c r="F64" s="892" t="str">
        <f t="shared" si="6"/>
        <v/>
      </c>
      <c r="G64" s="240"/>
      <c r="H64" s="930"/>
      <c r="I64" s="246"/>
      <c r="J64" s="1287">
        <v>1</v>
      </c>
      <c r="K64" s="1288"/>
      <c r="L64" s="1289"/>
      <c r="M64" s="1293" t="s">
        <v>532</v>
      </c>
      <c r="N64" s="1294"/>
      <c r="O64" s="1294"/>
      <c r="P64" s="1294"/>
      <c r="Q64" s="1294"/>
      <c r="R64" s="1294"/>
      <c r="S64" s="1294"/>
      <c r="T64" s="1294"/>
      <c r="U64" s="1295"/>
      <c r="V64" s="141"/>
      <c r="W64" s="141"/>
      <c r="X64" s="141"/>
      <c r="Y64" s="141"/>
      <c r="Z64" s="215" t="s">
        <v>1256</v>
      </c>
      <c r="AA64" s="141"/>
      <c r="AB64" s="141"/>
      <c r="AC64" s="141"/>
      <c r="AD64" s="141"/>
      <c r="AE64" s="142"/>
      <c r="AF64" s="37"/>
      <c r="AG64" s="797">
        <v>0.03</v>
      </c>
      <c r="AH64" s="85" t="s">
        <v>505</v>
      </c>
      <c r="AI64" s="228">
        <v>2</v>
      </c>
      <c r="AJ64" s="809" t="s">
        <v>1247</v>
      </c>
      <c r="AK64" s="138"/>
      <c r="AL64" s="800">
        <f t="shared" si="1"/>
        <v>2</v>
      </c>
      <c r="AM64" s="88"/>
      <c r="AN64" s="88"/>
      <c r="AO64" s="214" t="s">
        <v>1247</v>
      </c>
      <c r="AP64" s="819"/>
      <c r="AQ64" s="825"/>
      <c r="AR64" s="817"/>
      <c r="AS64" s="826"/>
      <c r="AT64" s="37"/>
      <c r="AU64" s="37"/>
      <c r="AV64" s="37"/>
    </row>
    <row r="65" spans="1:45" ht="13.5" customHeight="1">
      <c r="A65" s="40"/>
      <c r="B65" s="37"/>
      <c r="C65" s="60" t="str">
        <f t="shared" si="3"/>
        <v>톨루엔</v>
      </c>
      <c r="D65" s="88"/>
      <c r="E65" s="219"/>
      <c r="F65" s="892" t="str">
        <f t="shared" si="6"/>
        <v/>
      </c>
      <c r="G65" s="240"/>
      <c r="H65" s="930"/>
      <c r="I65" s="246"/>
      <c r="J65" s="1287">
        <v>1</v>
      </c>
      <c r="K65" s="1288"/>
      <c r="L65" s="1289"/>
      <c r="M65" s="1293" t="s">
        <v>532</v>
      </c>
      <c r="N65" s="1294"/>
      <c r="O65" s="1294"/>
      <c r="P65" s="1294"/>
      <c r="Q65" s="1294"/>
      <c r="R65" s="1294"/>
      <c r="S65" s="1294"/>
      <c r="T65" s="1294"/>
      <c r="U65" s="1295"/>
      <c r="V65" s="88"/>
      <c r="W65" s="88"/>
      <c r="X65" s="88"/>
      <c r="Y65" s="88"/>
      <c r="Z65" s="215" t="s">
        <v>830</v>
      </c>
      <c r="AA65" s="88"/>
      <c r="AB65" s="88"/>
      <c r="AC65" s="88"/>
      <c r="AD65" s="88"/>
      <c r="AE65" s="61"/>
      <c r="AF65" s="37"/>
      <c r="AG65" s="797">
        <v>0.03</v>
      </c>
      <c r="AH65" s="85" t="s">
        <v>505</v>
      </c>
      <c r="AI65" s="228">
        <v>2</v>
      </c>
      <c r="AJ65" s="811" t="s">
        <v>759</v>
      </c>
      <c r="AK65" s="138" t="e">
        <f>G65*($AH$79*(273/(273+$AI$79))*(($Q$17+$AK$79)/760))</f>
        <v>#N/A</v>
      </c>
      <c r="AL65" s="800">
        <f t="shared" si="1"/>
        <v>2</v>
      </c>
      <c r="AM65" s="88"/>
      <c r="AN65" s="88"/>
      <c r="AO65" s="225" t="s">
        <v>759</v>
      </c>
      <c r="AP65" s="819"/>
      <c r="AQ65" s="825"/>
      <c r="AR65" s="817"/>
      <c r="AS65" s="826"/>
    </row>
    <row r="66" spans="1:45" ht="13.5" customHeight="1">
      <c r="A66" s="40"/>
      <c r="B66" s="37"/>
      <c r="C66" s="60" t="str">
        <f t="shared" si="3"/>
        <v>자일렌</v>
      </c>
      <c r="D66" s="88"/>
      <c r="E66" s="219"/>
      <c r="F66" s="892" t="str">
        <f t="shared" si="6"/>
        <v/>
      </c>
      <c r="G66" s="240"/>
      <c r="H66" s="930"/>
      <c r="I66" s="246"/>
      <c r="J66" s="1287">
        <v>1</v>
      </c>
      <c r="K66" s="1288"/>
      <c r="L66" s="1289"/>
      <c r="M66" s="1293" t="s">
        <v>532</v>
      </c>
      <c r="N66" s="1294"/>
      <c r="O66" s="1294"/>
      <c r="P66" s="1294"/>
      <c r="Q66" s="1294"/>
      <c r="R66" s="1294"/>
      <c r="S66" s="1294"/>
      <c r="T66" s="1294"/>
      <c r="U66" s="1295"/>
      <c r="V66" s="88"/>
      <c r="W66" s="88"/>
      <c r="X66" s="88"/>
      <c r="Y66" s="88"/>
      <c r="Z66" s="215" t="s">
        <v>830</v>
      </c>
      <c r="AA66" s="88"/>
      <c r="AB66" s="88"/>
      <c r="AC66" s="88"/>
      <c r="AD66" s="88"/>
      <c r="AE66" s="61"/>
      <c r="AF66" s="37"/>
      <c r="AG66" s="797">
        <v>0.03</v>
      </c>
      <c r="AH66" s="85" t="s">
        <v>505</v>
      </c>
      <c r="AI66" s="228">
        <v>2</v>
      </c>
      <c r="AJ66" s="809" t="s">
        <v>762</v>
      </c>
      <c r="AK66" s="138" t="e">
        <f>G66*($AH$79*(273/(273+$AI$79))*(($Q$17+$AK$79)/760))</f>
        <v>#N/A</v>
      </c>
      <c r="AL66" s="800">
        <f t="shared" si="1"/>
        <v>2</v>
      </c>
      <c r="AM66" s="88"/>
      <c r="AN66" s="88"/>
      <c r="AO66" s="214" t="s">
        <v>762</v>
      </c>
      <c r="AP66" s="819"/>
      <c r="AQ66" s="825"/>
      <c r="AR66" s="817"/>
      <c r="AS66" s="826"/>
    </row>
    <row r="67" spans="1:45" ht="13.5" customHeight="1">
      <c r="A67" s="40"/>
      <c r="B67" s="37"/>
      <c r="C67" s="890" t="s">
        <v>1248</v>
      </c>
      <c r="D67" s="88"/>
      <c r="E67" s="219"/>
      <c r="F67" s="892" t="str">
        <f t="shared" si="6"/>
        <v/>
      </c>
      <c r="G67" s="240"/>
      <c r="H67" s="926"/>
      <c r="I67" s="246"/>
      <c r="J67" s="1287">
        <v>1</v>
      </c>
      <c r="K67" s="1288"/>
      <c r="L67" s="1289"/>
      <c r="M67" s="1293" t="s">
        <v>532</v>
      </c>
      <c r="N67" s="1294"/>
      <c r="O67" s="1294"/>
      <c r="P67" s="1294"/>
      <c r="Q67" s="1294"/>
      <c r="R67" s="1294"/>
      <c r="S67" s="1294"/>
      <c r="T67" s="1294"/>
      <c r="U67" s="1295"/>
      <c r="V67" s="88"/>
      <c r="W67" s="88"/>
      <c r="X67" s="88"/>
      <c r="Y67" s="88"/>
      <c r="Z67" s="215" t="s">
        <v>1257</v>
      </c>
      <c r="AA67" s="88"/>
      <c r="AB67" s="88"/>
      <c r="AC67" s="88"/>
      <c r="AD67" s="88"/>
      <c r="AE67" s="61"/>
      <c r="AF67" s="37"/>
      <c r="AG67" s="889">
        <v>3.2</v>
      </c>
      <c r="AH67" s="85" t="s">
        <v>1258</v>
      </c>
      <c r="AI67" s="228">
        <v>2</v>
      </c>
      <c r="AJ67" s="809" t="s">
        <v>1248</v>
      </c>
      <c r="AK67" s="138"/>
      <c r="AL67" s="800">
        <f t="shared" si="1"/>
        <v>2</v>
      </c>
      <c r="AM67" s="88"/>
      <c r="AN67" s="88"/>
      <c r="AO67" s="214" t="s">
        <v>1248</v>
      </c>
      <c r="AP67" s="819"/>
      <c r="AQ67" s="825"/>
      <c r="AR67" s="817"/>
      <c r="AS67" s="826"/>
    </row>
    <row r="68" spans="1:45" ht="13.5" customHeight="1">
      <c r="A68" s="87"/>
      <c r="B68" s="38"/>
      <c r="C68" s="60" t="str">
        <f t="shared" si="3"/>
        <v>이황화메틸</v>
      </c>
      <c r="D68" s="88"/>
      <c r="E68" s="219"/>
      <c r="F68" s="892" t="str">
        <f t="shared" si="6"/>
        <v/>
      </c>
      <c r="G68" s="240"/>
      <c r="H68" s="926"/>
      <c r="I68" s="246"/>
      <c r="J68" s="1287">
        <v>1</v>
      </c>
      <c r="K68" s="1288"/>
      <c r="L68" s="1289"/>
      <c r="M68" s="1293" t="s">
        <v>966</v>
      </c>
      <c r="N68" s="1294"/>
      <c r="O68" s="1294"/>
      <c r="P68" s="1294"/>
      <c r="Q68" s="1294"/>
      <c r="R68" s="1294"/>
      <c r="S68" s="1294"/>
      <c r="T68" s="1294"/>
      <c r="U68" s="1295"/>
      <c r="V68" s="88"/>
      <c r="W68" s="88"/>
      <c r="X68" s="88"/>
      <c r="Y68" s="88"/>
      <c r="Z68" s="215" t="s">
        <v>856</v>
      </c>
      <c r="AA68" s="88"/>
      <c r="AB68" s="88"/>
      <c r="AC68" s="88"/>
      <c r="AD68" s="88"/>
      <c r="AE68" s="61"/>
      <c r="AG68" s="797">
        <v>0.03</v>
      </c>
      <c r="AH68" s="85" t="s">
        <v>505</v>
      </c>
      <c r="AI68" s="228">
        <v>2</v>
      </c>
      <c r="AJ68" s="809" t="s">
        <v>855</v>
      </c>
      <c r="AK68" s="138" t="e">
        <f>G68*($AH$79*(273/(273+$AI$79))*(($Q$17+$AK$79)/760))</f>
        <v>#N/A</v>
      </c>
      <c r="AL68" s="800">
        <f t="shared" si="1"/>
        <v>2</v>
      </c>
      <c r="AO68" s="214" t="s">
        <v>855</v>
      </c>
      <c r="AP68" s="819"/>
      <c r="AQ68" s="825"/>
      <c r="AR68" s="817"/>
      <c r="AS68" s="827"/>
    </row>
    <row r="69" spans="1:45" ht="13.5" customHeight="1">
      <c r="A69" s="87"/>
      <c r="B69" s="38"/>
      <c r="C69" s="60"/>
      <c r="D69" s="38"/>
      <c r="E69" s="38"/>
      <c r="F69" s="234" t="str">
        <f t="shared" si="6"/>
        <v/>
      </c>
      <c r="G69" s="240"/>
      <c r="H69" s="930"/>
      <c r="I69" s="246"/>
      <c r="J69" s="1300"/>
      <c r="K69" s="1299"/>
      <c r="L69" s="1301"/>
      <c r="M69" s="1293"/>
      <c r="N69" s="1294"/>
      <c r="O69" s="1294"/>
      <c r="P69" s="1294"/>
      <c r="Q69" s="1294"/>
      <c r="R69" s="1294"/>
      <c r="S69" s="1294"/>
      <c r="T69" s="1294"/>
      <c r="U69" s="1295"/>
      <c r="V69" s="232"/>
      <c r="W69" s="88"/>
      <c r="X69" s="88"/>
      <c r="Y69" s="88"/>
      <c r="Z69" s="215"/>
      <c r="AA69" s="88"/>
      <c r="AB69" s="88"/>
      <c r="AC69" s="88"/>
      <c r="AD69" s="88"/>
      <c r="AE69" s="61"/>
      <c r="AG69" s="230"/>
      <c r="AH69" s="85"/>
      <c r="AI69" s="228"/>
      <c r="AJ69" s="807"/>
      <c r="AK69" s="798" t="e">
        <f>G69*($AH$79*(273/(273+$AI$79))*(($Q$17+$AK$79)/760))</f>
        <v>#N/A</v>
      </c>
      <c r="AL69" s="800"/>
      <c r="AO69" s="38"/>
      <c r="AP69" s="828"/>
      <c r="AQ69" s="828"/>
      <c r="AR69" s="828"/>
      <c r="AS69" s="227"/>
    </row>
    <row r="70" spans="1:45" ht="13.5" customHeight="1">
      <c r="A70" s="87"/>
      <c r="B70" s="38"/>
      <c r="C70" s="60" t="str">
        <f t="shared" si="3"/>
        <v>폼알데하이드</v>
      </c>
      <c r="D70" s="88"/>
      <c r="E70" s="219"/>
      <c r="F70" s="112" t="str">
        <f t="shared" si="6"/>
        <v/>
      </c>
      <c r="G70" s="240"/>
      <c r="H70" s="928"/>
      <c r="I70" s="246"/>
      <c r="J70" s="1287">
        <v>1</v>
      </c>
      <c r="K70" s="1288"/>
      <c r="L70" s="1289"/>
      <c r="M70" s="1293" t="s">
        <v>771</v>
      </c>
      <c r="N70" s="1294"/>
      <c r="O70" s="1294"/>
      <c r="P70" s="1294"/>
      <c r="Q70" s="1294"/>
      <c r="R70" s="1294"/>
      <c r="S70" s="1294"/>
      <c r="T70" s="1294"/>
      <c r="U70" s="1295"/>
      <c r="V70" s="88"/>
      <c r="W70" s="88"/>
      <c r="X70" s="88"/>
      <c r="Y70" s="88"/>
      <c r="Z70" s="215" t="s">
        <v>1134</v>
      </c>
      <c r="AA70" s="88"/>
      <c r="AB70" s="88"/>
      <c r="AC70" s="88"/>
      <c r="AD70" s="88"/>
      <c r="AE70" s="61"/>
      <c r="AG70" s="230">
        <v>3.0000000000000001E-3</v>
      </c>
      <c r="AH70" s="85" t="s">
        <v>505</v>
      </c>
      <c r="AI70" s="228">
        <v>3</v>
      </c>
      <c r="AJ70" s="809" t="s">
        <v>766</v>
      </c>
      <c r="AK70" s="798" t="e">
        <f>G70*($AH$79*(273/(273+$AI$79))*(($Q$17+$AK$79)/760))</f>
        <v>#N/A</v>
      </c>
      <c r="AL70" s="800">
        <f t="shared" si="1"/>
        <v>2</v>
      </c>
      <c r="AO70" s="214" t="s">
        <v>1202</v>
      </c>
      <c r="AP70" s="227"/>
      <c r="AQ70" s="227"/>
      <c r="AR70" s="829"/>
      <c r="AS70" s="826"/>
    </row>
    <row r="71" spans="1:45" ht="13.5" customHeight="1">
      <c r="A71" s="87"/>
      <c r="B71" s="38"/>
      <c r="C71" s="60" t="str">
        <f t="shared" si="3"/>
        <v>아세트알데하이드</v>
      </c>
      <c r="D71" s="88"/>
      <c r="E71" s="219"/>
      <c r="F71" s="112" t="str">
        <f t="shared" si="6"/>
        <v/>
      </c>
      <c r="G71" s="240"/>
      <c r="H71" s="928"/>
      <c r="I71" s="246"/>
      <c r="J71" s="1287">
        <v>1</v>
      </c>
      <c r="K71" s="1288"/>
      <c r="L71" s="1289"/>
      <c r="M71" s="1293" t="s">
        <v>771</v>
      </c>
      <c r="N71" s="1294"/>
      <c r="O71" s="1294"/>
      <c r="P71" s="1294"/>
      <c r="Q71" s="1294"/>
      <c r="R71" s="1294"/>
      <c r="S71" s="1294"/>
      <c r="T71" s="1294"/>
      <c r="U71" s="1295"/>
      <c r="V71" s="88"/>
      <c r="W71" s="88"/>
      <c r="X71" s="88"/>
      <c r="Y71" s="88"/>
      <c r="Z71" s="215" t="s">
        <v>1134</v>
      </c>
      <c r="AA71" s="88"/>
      <c r="AB71" s="88"/>
      <c r="AC71" s="88"/>
      <c r="AD71" s="88"/>
      <c r="AE71" s="61"/>
      <c r="AG71" s="230">
        <v>3.0000000000000001E-3</v>
      </c>
      <c r="AH71" s="85" t="s">
        <v>505</v>
      </c>
      <c r="AI71" s="228">
        <v>3</v>
      </c>
      <c r="AJ71" s="809" t="s">
        <v>764</v>
      </c>
      <c r="AK71" s="812" t="e">
        <f>G71*($AH$79*(273/(273+$AI$79))*(($Q$17+$AK$79)/760))</f>
        <v>#N/A</v>
      </c>
      <c r="AL71" s="800">
        <f t="shared" si="1"/>
        <v>2</v>
      </c>
      <c r="AO71" s="214" t="s">
        <v>1203</v>
      </c>
      <c r="AP71" s="227"/>
      <c r="AQ71" s="227"/>
      <c r="AR71" s="829"/>
      <c r="AS71" s="826"/>
    </row>
    <row r="72" spans="1:45" ht="13.5" customHeight="1">
      <c r="A72" s="87"/>
      <c r="B72" s="38"/>
      <c r="C72" s="60" t="str">
        <f t="shared" si="3"/>
        <v>아크롤레인</v>
      </c>
      <c r="D72" s="88"/>
      <c r="E72" s="219"/>
      <c r="F72" s="112" t="str">
        <f t="shared" si="6"/>
        <v/>
      </c>
      <c r="G72" s="240"/>
      <c r="H72" s="880"/>
      <c r="I72" s="246"/>
      <c r="J72" s="1287">
        <v>1</v>
      </c>
      <c r="K72" s="1288"/>
      <c r="L72" s="1289"/>
      <c r="M72" s="1293" t="s">
        <v>771</v>
      </c>
      <c r="N72" s="1294"/>
      <c r="O72" s="1294"/>
      <c r="P72" s="1294"/>
      <c r="Q72" s="1294"/>
      <c r="R72" s="1294"/>
      <c r="S72" s="1294"/>
      <c r="T72" s="1294"/>
      <c r="U72" s="1295"/>
      <c r="V72" s="88"/>
      <c r="W72" s="88"/>
      <c r="X72" s="88"/>
      <c r="Y72" s="88"/>
      <c r="Z72" s="215" t="s">
        <v>1134</v>
      </c>
      <c r="AA72" s="88"/>
      <c r="AB72" s="88"/>
      <c r="AC72" s="88"/>
      <c r="AD72" s="88"/>
      <c r="AE72" s="61"/>
      <c r="AG72" s="888">
        <v>3.0000000000000001E-3</v>
      </c>
      <c r="AH72" s="85" t="s">
        <v>505</v>
      </c>
      <c r="AI72" s="228">
        <v>3</v>
      </c>
      <c r="AJ72" s="809" t="s">
        <v>765</v>
      </c>
      <c r="AK72" s="812"/>
      <c r="AL72" s="800">
        <f t="shared" si="1"/>
        <v>2</v>
      </c>
      <c r="AO72" s="214" t="s">
        <v>765</v>
      </c>
      <c r="AP72" s="214"/>
      <c r="AQ72" s="214"/>
      <c r="AR72" s="830"/>
      <c r="AS72" s="826"/>
    </row>
    <row r="73" spans="1:45" ht="13.5" customHeight="1">
      <c r="A73" s="38"/>
      <c r="B73" s="38"/>
      <c r="C73" s="60" t="s">
        <v>1249</v>
      </c>
      <c r="D73" s="38"/>
      <c r="E73" s="38"/>
      <c r="F73" s="892" t="str">
        <f t="shared" si="6"/>
        <v/>
      </c>
      <c r="G73" s="92"/>
      <c r="H73" s="880"/>
      <c r="I73" s="92"/>
      <c r="J73" s="1287">
        <v>1</v>
      </c>
      <c r="K73" s="1288"/>
      <c r="L73" s="1289"/>
      <c r="M73" s="1293" t="s">
        <v>1260</v>
      </c>
      <c r="N73" s="1294"/>
      <c r="O73" s="1294"/>
      <c r="P73" s="1294"/>
      <c r="Q73" s="1294"/>
      <c r="R73" s="1294"/>
      <c r="S73" s="1294"/>
      <c r="T73" s="1294"/>
      <c r="U73" s="1295"/>
      <c r="V73" s="38"/>
      <c r="W73" s="38"/>
      <c r="X73" s="38"/>
      <c r="Y73" s="38"/>
      <c r="Z73" s="215" t="s">
        <v>1253</v>
      </c>
      <c r="AG73" s="228">
        <v>0.01</v>
      </c>
      <c r="AH73" s="85" t="s">
        <v>505</v>
      </c>
      <c r="AI73" s="228">
        <v>2</v>
      </c>
      <c r="AJ73" s="809" t="s">
        <v>1251</v>
      </c>
      <c r="AL73" s="800">
        <f t="shared" si="1"/>
        <v>2</v>
      </c>
      <c r="AO73" s="214" t="s">
        <v>1251</v>
      </c>
    </row>
    <row r="74" spans="1:45" ht="13.5" customHeight="1" thickBot="1">
      <c r="A74" s="881"/>
      <c r="B74" s="882"/>
      <c r="C74" s="891" t="s">
        <v>1250</v>
      </c>
      <c r="D74" s="883"/>
      <c r="E74" s="883"/>
      <c r="F74" s="893" t="str">
        <f t="shared" si="6"/>
        <v/>
      </c>
      <c r="G74" s="884"/>
      <c r="H74" s="885"/>
      <c r="I74" s="884"/>
      <c r="J74" s="1290">
        <v>1</v>
      </c>
      <c r="K74" s="1291"/>
      <c r="L74" s="1292"/>
      <c r="M74" s="1293" t="s">
        <v>771</v>
      </c>
      <c r="N74" s="1294"/>
      <c r="O74" s="1294"/>
      <c r="P74" s="1294"/>
      <c r="Q74" s="1294"/>
      <c r="R74" s="1294"/>
      <c r="S74" s="1294"/>
      <c r="T74" s="1294"/>
      <c r="U74" s="1295"/>
      <c r="V74" s="883"/>
      <c r="W74" s="883"/>
      <c r="X74" s="883"/>
      <c r="Y74" s="883"/>
      <c r="Z74" s="215" t="s">
        <v>1254</v>
      </c>
      <c r="AA74" s="886"/>
      <c r="AB74" s="886"/>
      <c r="AC74" s="886"/>
      <c r="AD74" s="886"/>
      <c r="AE74" s="887"/>
      <c r="AG74" s="228">
        <v>0.01</v>
      </c>
      <c r="AH74" s="85" t="s">
        <v>505</v>
      </c>
      <c r="AI74" s="228">
        <v>2</v>
      </c>
      <c r="AJ74" s="809" t="s">
        <v>1252</v>
      </c>
      <c r="AL74" s="800">
        <f t="shared" si="1"/>
        <v>2</v>
      </c>
      <c r="AO74" s="214" t="s">
        <v>1252</v>
      </c>
    </row>
    <row r="75" spans="1:45" ht="13.9" thickTop="1">
      <c r="A75" s="38"/>
      <c r="B75" s="38"/>
      <c r="C75" s="38"/>
      <c r="D75" s="38"/>
      <c r="E75" s="38"/>
      <c r="F75" s="38"/>
      <c r="G75" s="92"/>
      <c r="H75" s="92"/>
      <c r="I75" s="92"/>
      <c r="J75" s="92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45">
      <c r="A76" s="38"/>
      <c r="B76" s="38"/>
      <c r="C76" s="38"/>
      <c r="D76" s="38"/>
      <c r="E76" s="38"/>
      <c r="F76" s="38"/>
      <c r="G76" s="92"/>
      <c r="H76" s="92"/>
      <c r="I76" s="92"/>
      <c r="J76" s="92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45">
      <c r="A77" s="38"/>
      <c r="B77" s="38"/>
      <c r="C77" s="38"/>
      <c r="D77" s="38"/>
      <c r="E77" s="38"/>
      <c r="F77" s="38"/>
      <c r="G77" s="92"/>
      <c r="H77" s="92"/>
      <c r="I77" s="92"/>
      <c r="J77" s="92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45" ht="13.9" thickBot="1">
      <c r="A78" s="38"/>
      <c r="B78" s="38"/>
      <c r="C78" s="38"/>
      <c r="D78" s="38"/>
      <c r="E78" s="38"/>
      <c r="F78" s="38"/>
      <c r="G78" s="92"/>
      <c r="H78" s="92"/>
      <c r="I78" s="92"/>
      <c r="J78" s="92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45" ht="60.75" customHeight="1" thickBot="1">
      <c r="A79" s="38"/>
      <c r="B79" s="38"/>
      <c r="C79" s="38"/>
      <c r="D79" s="38"/>
      <c r="E79" s="38"/>
      <c r="F79" s="38"/>
      <c r="G79" s="92"/>
      <c r="H79" s="92"/>
      <c r="I79" s="92"/>
      <c r="J79" s="92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G79" s="133" t="s">
        <v>612</v>
      </c>
      <c r="AH79" s="134">
        <v>1</v>
      </c>
      <c r="AI79" s="135" t="e">
        <f>VLOOKUP("*VOC*",'한종_시료채취기록지 (사용X)'!A33:U44,8,0)</f>
        <v>#N/A</v>
      </c>
      <c r="AJ79" s="136" t="s">
        <v>617</v>
      </c>
      <c r="AK79" s="137" t="e">
        <f>VLOOKUP("*VOC*",'한종_시료채취기록지 (사용X)'!A33:U44,6,0)</f>
        <v>#N/A</v>
      </c>
    </row>
    <row r="80" spans="1:45">
      <c r="A80" s="38"/>
      <c r="B80" s="38"/>
      <c r="C80" s="38"/>
      <c r="D80" s="38"/>
      <c r="E80" s="38"/>
      <c r="F80" s="38"/>
      <c r="G80" s="92"/>
      <c r="H80" s="92"/>
      <c r="I80" s="92"/>
      <c r="J80" s="92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>
      <c r="A81" s="38"/>
      <c r="B81" s="38"/>
      <c r="C81" s="38"/>
      <c r="D81" s="38"/>
      <c r="E81" s="38"/>
      <c r="F81" s="38"/>
      <c r="G81" s="92"/>
      <c r="H81" s="92"/>
      <c r="I81" s="92"/>
      <c r="J81" s="92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>
      <c r="A82" s="38"/>
      <c r="B82" s="38"/>
      <c r="C82" s="38"/>
      <c r="D82" s="38"/>
      <c r="E82" s="38"/>
      <c r="F82" s="38"/>
      <c r="G82" s="92"/>
      <c r="H82" s="92"/>
      <c r="I82" s="92"/>
      <c r="J82" s="92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>
      <c r="A83" s="38"/>
      <c r="B83" s="38"/>
      <c r="C83" s="38"/>
      <c r="D83" s="38"/>
      <c r="E83" s="38"/>
      <c r="F83" s="38"/>
      <c r="G83" s="92"/>
      <c r="H83" s="92"/>
      <c r="I83" s="92"/>
      <c r="J83" s="92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>
      <c r="A84" s="38"/>
      <c r="B84" s="38"/>
      <c r="C84" s="38"/>
      <c r="D84" s="38"/>
      <c r="E84" s="38"/>
      <c r="F84" s="38"/>
      <c r="G84" s="92"/>
      <c r="H84" s="92"/>
      <c r="I84" s="92"/>
      <c r="J84" s="92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>
      <c r="A85" s="38"/>
      <c r="B85" s="38"/>
      <c r="C85" s="38"/>
      <c r="D85" s="38"/>
      <c r="E85" s="38"/>
      <c r="F85" s="38"/>
      <c r="G85" s="92"/>
      <c r="H85" s="92"/>
      <c r="I85" s="92"/>
      <c r="J85" s="92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>
      <c r="A86" s="38"/>
      <c r="B86" s="38"/>
      <c r="C86" s="38"/>
      <c r="D86" s="38"/>
      <c r="E86" s="38"/>
      <c r="F86" s="38"/>
      <c r="G86" s="92"/>
      <c r="H86" s="92"/>
      <c r="I86" s="92"/>
      <c r="J86" s="92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>
      <c r="A87" s="38"/>
      <c r="B87" s="38"/>
      <c r="C87" s="38"/>
      <c r="D87" s="38"/>
      <c r="E87" s="38"/>
      <c r="F87" s="38"/>
      <c r="G87" s="92"/>
      <c r="H87" s="92"/>
      <c r="I87" s="92"/>
      <c r="J87" s="92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>
      <c r="A88" s="38"/>
      <c r="B88" s="38"/>
      <c r="C88" s="38"/>
      <c r="D88" s="38"/>
      <c r="E88" s="38"/>
      <c r="F88" s="38"/>
      <c r="G88" s="92"/>
      <c r="H88" s="92"/>
      <c r="I88" s="92"/>
      <c r="J88" s="92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>
      <c r="A89" s="38"/>
      <c r="B89" s="38"/>
      <c r="C89" s="38"/>
      <c r="D89" s="38"/>
      <c r="E89" s="38"/>
      <c r="F89" s="38"/>
      <c r="G89" s="92"/>
      <c r="H89" s="92"/>
      <c r="I89" s="92"/>
      <c r="J89" s="92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>
      <c r="A90" s="38"/>
      <c r="B90" s="38"/>
      <c r="C90" s="38"/>
      <c r="D90" s="38"/>
      <c r="E90" s="38"/>
      <c r="F90" s="38"/>
      <c r="G90" s="92"/>
      <c r="H90" s="92"/>
      <c r="I90" s="92"/>
      <c r="J90" s="92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>
      <c r="A91" s="38"/>
      <c r="B91" s="38"/>
      <c r="C91" s="38"/>
      <c r="D91" s="38"/>
      <c r="E91" s="38"/>
      <c r="F91" s="38"/>
      <c r="G91" s="92"/>
      <c r="H91" s="92"/>
      <c r="I91" s="92"/>
      <c r="J91" s="92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>
      <c r="A92" s="38"/>
      <c r="B92" s="38"/>
      <c r="C92" s="38"/>
      <c r="D92" s="38"/>
      <c r="E92" s="38"/>
      <c r="F92" s="38"/>
      <c r="G92" s="92"/>
      <c r="H92" s="92"/>
      <c r="I92" s="92"/>
      <c r="J92" s="92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>
      <c r="A93" s="38"/>
      <c r="B93" s="38"/>
      <c r="C93" s="38"/>
      <c r="D93" s="38"/>
      <c r="E93" s="38"/>
      <c r="F93" s="38"/>
      <c r="G93" s="92"/>
      <c r="H93" s="92"/>
      <c r="I93" s="92"/>
      <c r="J93" s="92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>
      <c r="A94" s="38"/>
      <c r="B94" s="38"/>
      <c r="C94" s="38"/>
      <c r="D94" s="38"/>
      <c r="E94" s="38"/>
      <c r="F94" s="38"/>
      <c r="G94" s="92"/>
      <c r="H94" s="92"/>
      <c r="I94" s="92"/>
      <c r="J94" s="92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>
      <c r="A95" s="38"/>
      <c r="B95" s="38"/>
      <c r="C95" s="38"/>
      <c r="D95" s="38"/>
      <c r="E95" s="38"/>
      <c r="F95" s="38"/>
      <c r="G95" s="92"/>
      <c r="H95" s="92"/>
      <c r="I95" s="92"/>
      <c r="J95" s="92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>
      <c r="A96" s="38"/>
      <c r="B96" s="38"/>
      <c r="C96" s="38"/>
      <c r="D96" s="38"/>
      <c r="E96" s="38"/>
      <c r="F96" s="38"/>
      <c r="G96" s="92"/>
      <c r="H96" s="92"/>
      <c r="I96" s="92"/>
      <c r="J96" s="92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>
      <c r="A97" s="38"/>
      <c r="B97" s="38"/>
      <c r="C97" s="38"/>
      <c r="D97" s="38"/>
      <c r="E97" s="38"/>
      <c r="F97" s="38"/>
      <c r="G97" s="92"/>
      <c r="H97" s="92"/>
      <c r="I97" s="92"/>
      <c r="J97" s="92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>
      <c r="A98" s="38"/>
      <c r="B98" s="38"/>
      <c r="C98" s="38"/>
      <c r="D98" s="38"/>
      <c r="E98" s="38"/>
      <c r="F98" s="38"/>
      <c r="G98" s="92"/>
      <c r="H98" s="92"/>
      <c r="I98" s="92"/>
      <c r="J98" s="92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>
      <c r="A99" s="38"/>
      <c r="B99" s="38"/>
      <c r="C99" s="38"/>
      <c r="D99" s="38"/>
      <c r="E99" s="38"/>
      <c r="F99" s="38"/>
      <c r="G99" s="92"/>
      <c r="H99" s="92"/>
      <c r="I99" s="92"/>
      <c r="J99" s="92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>
      <c r="A100" s="38"/>
      <c r="B100" s="38"/>
      <c r="C100" s="38"/>
      <c r="D100" s="38"/>
      <c r="E100" s="38"/>
      <c r="F100" s="38"/>
      <c r="G100" s="92"/>
      <c r="H100" s="92"/>
      <c r="I100" s="92"/>
      <c r="J100" s="92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>
      <c r="A101" s="38"/>
      <c r="B101" s="38"/>
      <c r="C101" s="38"/>
      <c r="D101" s="38"/>
      <c r="E101" s="38"/>
      <c r="F101" s="38"/>
      <c r="G101" s="92"/>
      <c r="H101" s="92"/>
      <c r="I101" s="92"/>
      <c r="J101" s="92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>
      <c r="A102" s="38"/>
      <c r="B102" s="38"/>
      <c r="C102" s="38"/>
      <c r="D102" s="38"/>
      <c r="E102" s="38"/>
      <c r="F102" s="38"/>
      <c r="G102" s="92"/>
      <c r="H102" s="92"/>
      <c r="I102" s="92"/>
      <c r="J102" s="92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>
      <c r="A103" s="38"/>
      <c r="B103" s="38"/>
      <c r="C103" s="38"/>
      <c r="D103" s="38"/>
      <c r="E103" s="38"/>
      <c r="F103" s="38"/>
      <c r="G103" s="92"/>
      <c r="H103" s="92"/>
      <c r="I103" s="92"/>
      <c r="J103" s="92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>
      <c r="A104" s="38"/>
      <c r="B104" s="38"/>
      <c r="C104" s="38"/>
      <c r="D104" s="38"/>
      <c r="E104" s="38"/>
      <c r="F104" s="38"/>
      <c r="G104" s="92"/>
      <c r="H104" s="92"/>
      <c r="I104" s="92"/>
      <c r="J104" s="92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>
      <c r="A105" s="38"/>
      <c r="B105" s="38"/>
      <c r="C105" s="38"/>
      <c r="D105" s="38"/>
      <c r="E105" s="38"/>
      <c r="F105" s="38"/>
      <c r="G105" s="92"/>
      <c r="H105" s="92"/>
      <c r="I105" s="92"/>
      <c r="J105" s="92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>
      <c r="A106" s="38"/>
      <c r="B106" s="38"/>
      <c r="C106" s="38"/>
      <c r="D106" s="38"/>
      <c r="E106" s="38"/>
      <c r="F106" s="38"/>
      <c r="G106" s="92"/>
      <c r="H106" s="92"/>
      <c r="I106" s="92"/>
      <c r="J106" s="92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>
      <c r="A107" s="38"/>
      <c r="B107" s="38"/>
      <c r="C107" s="38"/>
      <c r="D107" s="38"/>
      <c r="E107" s="38"/>
      <c r="F107" s="38"/>
      <c r="G107" s="92"/>
      <c r="H107" s="92"/>
      <c r="I107" s="92"/>
      <c r="J107" s="92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>
      <c r="A108" s="38"/>
      <c r="B108" s="38"/>
      <c r="C108" s="38"/>
      <c r="D108" s="38"/>
      <c r="E108" s="38"/>
      <c r="F108" s="38"/>
      <c r="G108" s="92"/>
      <c r="H108" s="92"/>
      <c r="I108" s="92"/>
      <c r="J108" s="92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>
      <c r="A109" s="38"/>
      <c r="B109" s="38"/>
      <c r="C109" s="38"/>
      <c r="D109" s="38"/>
      <c r="E109" s="38"/>
      <c r="F109" s="38"/>
      <c r="G109" s="92"/>
      <c r="H109" s="92"/>
      <c r="I109" s="92"/>
      <c r="J109" s="92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>
      <c r="A110" s="38"/>
      <c r="B110" s="38"/>
      <c r="C110" s="38"/>
      <c r="D110" s="38"/>
      <c r="E110" s="38"/>
      <c r="F110" s="38"/>
      <c r="G110" s="92"/>
      <c r="H110" s="92"/>
      <c r="I110" s="92"/>
      <c r="J110" s="92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>
      <c r="A111" s="38"/>
      <c r="B111" s="38"/>
      <c r="C111" s="38"/>
      <c r="D111" s="38"/>
      <c r="E111" s="38"/>
      <c r="F111" s="38"/>
      <c r="G111" s="92"/>
      <c r="H111" s="92"/>
      <c r="I111" s="92"/>
      <c r="J111" s="92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>
      <c r="A112" s="38"/>
      <c r="B112" s="38"/>
      <c r="C112" s="38"/>
      <c r="D112" s="38"/>
      <c r="E112" s="38"/>
      <c r="F112" s="38"/>
      <c r="G112" s="92"/>
      <c r="H112" s="92"/>
      <c r="I112" s="92"/>
      <c r="J112" s="92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>
      <c r="A113" s="38"/>
      <c r="B113" s="38"/>
      <c r="C113" s="38"/>
      <c r="D113" s="38"/>
      <c r="E113" s="38"/>
      <c r="F113" s="38"/>
      <c r="G113" s="92"/>
      <c r="H113" s="92"/>
      <c r="I113" s="92"/>
      <c r="J113" s="92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>
      <c r="A114" s="38"/>
      <c r="B114" s="38"/>
      <c r="C114" s="38"/>
      <c r="D114" s="38"/>
      <c r="E114" s="38"/>
      <c r="F114" s="38"/>
      <c r="G114" s="92"/>
      <c r="H114" s="92"/>
      <c r="I114" s="92"/>
      <c r="J114" s="92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>
      <c r="T115" s="38"/>
      <c r="U115" s="38"/>
      <c r="V115" s="38"/>
      <c r="W115" s="38"/>
      <c r="X115" s="38"/>
      <c r="Y115" s="38"/>
      <c r="Z115" s="38"/>
    </row>
  </sheetData>
  <mergeCells count="190">
    <mergeCell ref="AM11:BH16"/>
    <mergeCell ref="M56:U56"/>
    <mergeCell ref="AI13:AK13"/>
    <mergeCell ref="J50:L50"/>
    <mergeCell ref="J49:L49"/>
    <mergeCell ref="J48:L48"/>
    <mergeCell ref="J47:L47"/>
    <mergeCell ref="J46:L46"/>
    <mergeCell ref="J68:L68"/>
    <mergeCell ref="J66:L66"/>
    <mergeCell ref="J65:L65"/>
    <mergeCell ref="J63:L63"/>
    <mergeCell ref="J62:L62"/>
    <mergeCell ref="J61:L61"/>
    <mergeCell ref="J60:L60"/>
    <mergeCell ref="J59:L59"/>
    <mergeCell ref="J58:L58"/>
    <mergeCell ref="J57:L57"/>
    <mergeCell ref="J39:L39"/>
    <mergeCell ref="M65:U65"/>
    <mergeCell ref="M38:U38"/>
    <mergeCell ref="M51:U51"/>
    <mergeCell ref="M55:U55"/>
    <mergeCell ref="J25:L25"/>
    <mergeCell ref="Z1:AE2"/>
    <mergeCell ref="I6:K6"/>
    <mergeCell ref="P3:AE3"/>
    <mergeCell ref="M60:U60"/>
    <mergeCell ref="M27:U27"/>
    <mergeCell ref="M28:U28"/>
    <mergeCell ref="M33:U33"/>
    <mergeCell ref="M34:U34"/>
    <mergeCell ref="M35:U35"/>
    <mergeCell ref="M58:U58"/>
    <mergeCell ref="M49:U49"/>
    <mergeCell ref="M52:U52"/>
    <mergeCell ref="M53:U53"/>
    <mergeCell ref="M54:U54"/>
    <mergeCell ref="T17:U18"/>
    <mergeCell ref="P10:T10"/>
    <mergeCell ref="Q15:U16"/>
    <mergeCell ref="AA15:AE16"/>
    <mergeCell ref="V15:Z16"/>
    <mergeCell ref="M48:U48"/>
    <mergeCell ref="X7:Z7"/>
    <mergeCell ref="J56:L56"/>
    <mergeCell ref="M39:U39"/>
    <mergeCell ref="L6:O6"/>
    <mergeCell ref="U9:AE10"/>
    <mergeCell ref="I9:K9"/>
    <mergeCell ref="P11:T13"/>
    <mergeCell ref="U11:AE13"/>
    <mergeCell ref="AA17:AC18"/>
    <mergeCell ref="J55:L55"/>
    <mergeCell ref="G24:I24"/>
    <mergeCell ref="M23:U23"/>
    <mergeCell ref="Y17:Z18"/>
    <mergeCell ref="G28:I28"/>
    <mergeCell ref="V21:AE22"/>
    <mergeCell ref="M25:U25"/>
    <mergeCell ref="M26:U26"/>
    <mergeCell ref="L17:L18"/>
    <mergeCell ref="M17:O18"/>
    <mergeCell ref="P17:P18"/>
    <mergeCell ref="Q17:S18"/>
    <mergeCell ref="V17:X18"/>
    <mergeCell ref="J54:L54"/>
    <mergeCell ref="M32:U32"/>
    <mergeCell ref="J35:L35"/>
    <mergeCell ref="J34:L34"/>
    <mergeCell ref="I15:L16"/>
    <mergeCell ref="M24:U24"/>
    <mergeCell ref="A12:D12"/>
    <mergeCell ref="E12:O12"/>
    <mergeCell ref="A13:D13"/>
    <mergeCell ref="E13:O13"/>
    <mergeCell ref="A4:D4"/>
    <mergeCell ref="E4:O4"/>
    <mergeCell ref="P4:T4"/>
    <mergeCell ref="M15:P16"/>
    <mergeCell ref="J23:L23"/>
    <mergeCell ref="P9:T9"/>
    <mergeCell ref="A10:D10"/>
    <mergeCell ref="A11:D11"/>
    <mergeCell ref="E11:F11"/>
    <mergeCell ref="E10:F10"/>
    <mergeCell ref="I10:K10"/>
    <mergeCell ref="L10:O10"/>
    <mergeCell ref="L7:O8"/>
    <mergeCell ref="P7:T7"/>
    <mergeCell ref="A8:D8"/>
    <mergeCell ref="A15:D16"/>
    <mergeCell ref="E15:H16"/>
    <mergeCell ref="P8:T8"/>
    <mergeCell ref="J22:L22"/>
    <mergeCell ref="F21:L21"/>
    <mergeCell ref="U8:AE8"/>
    <mergeCell ref="A5:D5"/>
    <mergeCell ref="E5:O5"/>
    <mergeCell ref="P5:T5"/>
    <mergeCell ref="U5:AE5"/>
    <mergeCell ref="A6:D6"/>
    <mergeCell ref="P6:T6"/>
    <mergeCell ref="U6:AE6"/>
    <mergeCell ref="U7:W7"/>
    <mergeCell ref="W1:Y1"/>
    <mergeCell ref="U4:AE4"/>
    <mergeCell ref="E6:H6"/>
    <mergeCell ref="L11:M11"/>
    <mergeCell ref="N11:O11"/>
    <mergeCell ref="L9:O9"/>
    <mergeCell ref="E9:H9"/>
    <mergeCell ref="A21:E22"/>
    <mergeCell ref="M21:U22"/>
    <mergeCell ref="G22:I22"/>
    <mergeCell ref="W2:Y2"/>
    <mergeCell ref="A7:D7"/>
    <mergeCell ref="E7:H8"/>
    <mergeCell ref="AD17:AE18"/>
    <mergeCell ref="A17:D18"/>
    <mergeCell ref="E17:H18"/>
    <mergeCell ref="I17:K18"/>
    <mergeCell ref="A1:C1"/>
    <mergeCell ref="D1:G2"/>
    <mergeCell ref="H1:V2"/>
    <mergeCell ref="A2:C2"/>
    <mergeCell ref="I11:K11"/>
    <mergeCell ref="A9:D9"/>
    <mergeCell ref="A3:O3"/>
    <mergeCell ref="G30:I30"/>
    <mergeCell ref="G29:I29"/>
    <mergeCell ref="M29:U29"/>
    <mergeCell ref="M30:U30"/>
    <mergeCell ref="M40:U40"/>
    <mergeCell ref="J24:L24"/>
    <mergeCell ref="M36:U36"/>
    <mergeCell ref="J28:L28"/>
    <mergeCell ref="J27:L27"/>
    <mergeCell ref="J37:L37"/>
    <mergeCell ref="J36:L36"/>
    <mergeCell ref="J26:L26"/>
    <mergeCell ref="M31:U31"/>
    <mergeCell ref="J53:L53"/>
    <mergeCell ref="J52:L52"/>
    <mergeCell ref="J51:L51"/>
    <mergeCell ref="J33:L33"/>
    <mergeCell ref="J32:L32"/>
    <mergeCell ref="M42:U42"/>
    <mergeCell ref="M44:U44"/>
    <mergeCell ref="M45:U45"/>
    <mergeCell ref="M37:U37"/>
    <mergeCell ref="M50:U50"/>
    <mergeCell ref="J45:L45"/>
    <mergeCell ref="J44:L44"/>
    <mergeCell ref="J43:L43"/>
    <mergeCell ref="J42:L42"/>
    <mergeCell ref="M57:U57"/>
    <mergeCell ref="M66:U66"/>
    <mergeCell ref="M62:U62"/>
    <mergeCell ref="M63:U63"/>
    <mergeCell ref="M59:U59"/>
    <mergeCell ref="M61:U61"/>
    <mergeCell ref="M64:U64"/>
    <mergeCell ref="M67:U67"/>
    <mergeCell ref="J38:L38"/>
    <mergeCell ref="J41:L41"/>
    <mergeCell ref="G23:I23"/>
    <mergeCell ref="J73:L73"/>
    <mergeCell ref="J74:L74"/>
    <mergeCell ref="M73:U73"/>
    <mergeCell ref="M74:U74"/>
    <mergeCell ref="J40:L40"/>
    <mergeCell ref="J29:L29"/>
    <mergeCell ref="J30:L30"/>
    <mergeCell ref="J64:L64"/>
    <mergeCell ref="J67:L67"/>
    <mergeCell ref="J72:L72"/>
    <mergeCell ref="M72:U72"/>
    <mergeCell ref="J31:L31"/>
    <mergeCell ref="J69:L69"/>
    <mergeCell ref="M69:U69"/>
    <mergeCell ref="J70:L70"/>
    <mergeCell ref="M70:U70"/>
    <mergeCell ref="J71:L71"/>
    <mergeCell ref="M71:U71"/>
    <mergeCell ref="M41:U41"/>
    <mergeCell ref="M43:U43"/>
    <mergeCell ref="M46:U46"/>
    <mergeCell ref="M47:U47"/>
    <mergeCell ref="M68:U68"/>
  </mergeCells>
  <phoneticPr fontId="2" type="noConversion"/>
  <printOptions horizontalCentered="1" verticalCentered="1"/>
  <pageMargins left="0.19685039370078741" right="0.19685039370078741" top="0.35433070866141736" bottom="0.43307086614173229" header="0.19685039370078741" footer="0.19685039370078741"/>
  <pageSetup paperSize="9" scale="54" orientation="portrait" r:id="rId1"/>
  <headerFooter scaleWithDoc="0">
    <oddHeader xml:space="preserve">&amp;C
</oddHeader>
    <oddFooter>&amp;L&amp;"굴림체,보통"&amp;9fKET-QP-14-06(0)&amp;R&amp;"굴림체,보통"&amp;9한국종합환경산업주식회사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C5:P51"/>
  <sheetViews>
    <sheetView topLeftCell="A22" workbookViewId="0">
      <selection activeCell="C52" sqref="C52"/>
    </sheetView>
  </sheetViews>
  <sheetFormatPr defaultRowHeight="16.899999999999999"/>
  <cols>
    <col min="3" max="3" width="13.875" customWidth="1"/>
    <col min="4" max="4" width="13.5" customWidth="1"/>
    <col min="5" max="5" width="16.875" style="9" bestFit="1" customWidth="1"/>
    <col min="8" max="8" width="4.875" style="9" customWidth="1"/>
    <col min="9" max="9" width="16.875" customWidth="1"/>
    <col min="10" max="15" width="16" bestFit="1" customWidth="1"/>
  </cols>
  <sheetData>
    <row r="5" spans="3:9">
      <c r="C5" s="9" t="s">
        <v>1205</v>
      </c>
      <c r="D5" t="s">
        <v>1206</v>
      </c>
      <c r="E5" s="834" t="s">
        <v>1207</v>
      </c>
    </row>
    <row r="6" spans="3:9" ht="17.25" customHeight="1">
      <c r="C6" s="250" t="s">
        <v>524</v>
      </c>
      <c r="D6" s="250" t="s">
        <v>524</v>
      </c>
      <c r="E6" s="250" t="str">
        <f>IF(ISNUMBER(SEARCH("현대자동차",'대기측정 분석결과서'!$E$4)),D6,C6)</f>
        <v>먼지</v>
      </c>
      <c r="F6" s="250" t="s">
        <v>524</v>
      </c>
      <c r="G6" s="250"/>
      <c r="H6" s="520" t="s">
        <v>43</v>
      </c>
      <c r="I6" s="521" t="s">
        <v>914</v>
      </c>
    </row>
    <row r="7" spans="3:9" ht="17.25" customHeight="1">
      <c r="C7" s="60" t="s">
        <v>526</v>
      </c>
      <c r="D7" s="60" t="s">
        <v>526</v>
      </c>
      <c r="E7" s="250" t="str">
        <f>IF(ISNUMBER(SEARCH("현대자동차",'대기측정 분석결과서'!$E$4)),D7,C7)</f>
        <v>매연</v>
      </c>
      <c r="F7" s="60" t="s">
        <v>526</v>
      </c>
      <c r="G7" s="60"/>
      <c r="H7" s="520" t="s">
        <v>900</v>
      </c>
      <c r="I7" s="521" t="s">
        <v>915</v>
      </c>
    </row>
    <row r="8" spans="3:9" ht="17.25" customHeight="1">
      <c r="C8" s="60" t="s">
        <v>527</v>
      </c>
      <c r="D8" s="60" t="s">
        <v>1194</v>
      </c>
      <c r="E8" s="250" t="str">
        <f>IF(ISNUMBER(SEARCH("현대자동차",'대기측정 분석결과서'!$E$4)),D8,C8)</f>
        <v>NOx</v>
      </c>
      <c r="F8" s="770" t="s">
        <v>1175</v>
      </c>
      <c r="G8" s="60"/>
      <c r="H8" s="520" t="s">
        <v>901</v>
      </c>
      <c r="I8" s="521" t="s">
        <v>916</v>
      </c>
    </row>
    <row r="9" spans="3:9" ht="17.25" customHeight="1">
      <c r="C9" s="60" t="s">
        <v>529</v>
      </c>
      <c r="D9" s="60" t="s">
        <v>1195</v>
      </c>
      <c r="E9" s="250" t="str">
        <f>IF(ISNUMBER(SEARCH("현대자동차",'대기측정 분석결과서'!$E$4)),D9,C9)</f>
        <v>SOx</v>
      </c>
      <c r="F9" s="770" t="s">
        <v>1175</v>
      </c>
      <c r="G9" s="60"/>
      <c r="H9" s="520" t="s">
        <v>902</v>
      </c>
      <c r="I9" s="521" t="s">
        <v>917</v>
      </c>
    </row>
    <row r="10" spans="3:9" ht="17.25" customHeight="1">
      <c r="C10" s="60" t="s">
        <v>467</v>
      </c>
      <c r="D10" s="60" t="s">
        <v>1196</v>
      </c>
      <c r="E10" s="250" t="str">
        <f>IF(ISNUMBER(SEARCH("현대자동차",'대기측정 분석결과서'!$E$4)),D10,C10)</f>
        <v>CO</v>
      </c>
      <c r="F10" s="770" t="s">
        <v>1175</v>
      </c>
      <c r="G10" s="60"/>
      <c r="H10" s="520" t="s">
        <v>903</v>
      </c>
      <c r="I10" s="521" t="s">
        <v>918</v>
      </c>
    </row>
    <row r="11" spans="3:9" ht="17.25" customHeight="1">
      <c r="C11" s="60" t="s">
        <v>375</v>
      </c>
      <c r="D11" s="846" t="s">
        <v>1208</v>
      </c>
      <c r="E11" s="250" t="str">
        <f>IF(ISNUMBER(SEARCH("현대자동차",'대기측정 분석결과서'!$E$4)),D11,C11)</f>
        <v>THC</v>
      </c>
      <c r="F11" s="60" t="s">
        <v>375</v>
      </c>
      <c r="G11" s="60"/>
      <c r="H11" s="520" t="s">
        <v>904</v>
      </c>
      <c r="I11" s="521" t="s">
        <v>919</v>
      </c>
    </row>
    <row r="12" spans="3:9" ht="17.25" customHeight="1">
      <c r="C12" s="49"/>
      <c r="D12" s="37"/>
      <c r="E12" s="250"/>
      <c r="F12" s="49"/>
      <c r="G12" s="37"/>
      <c r="H12" s="520" t="s">
        <v>905</v>
      </c>
      <c r="I12" s="521" t="s">
        <v>920</v>
      </c>
    </row>
    <row r="13" spans="3:9" ht="17.25" customHeight="1">
      <c r="C13" s="220" t="s">
        <v>742</v>
      </c>
      <c r="D13" s="220" t="s">
        <v>742</v>
      </c>
      <c r="E13" s="250" t="str">
        <f>IF(ISNUMBER(SEARCH("현대자동차",'대기측정 분석결과서'!$E$4)),D13,C13)</f>
        <v>암모니아</v>
      </c>
      <c r="G13" s="220"/>
      <c r="H13" s="520" t="s">
        <v>906</v>
      </c>
      <c r="I13" s="521" t="s">
        <v>921</v>
      </c>
    </row>
    <row r="14" spans="3:9" ht="17.25" customHeight="1">
      <c r="C14" s="221" t="s">
        <v>743</v>
      </c>
      <c r="D14" s="221" t="s">
        <v>743</v>
      </c>
      <c r="E14" s="250" t="str">
        <f>IF(ISNUMBER(SEARCH("현대자동차",'대기측정 분석결과서'!$E$4)),D14,C14)</f>
        <v>염화수소</v>
      </c>
      <c r="G14" s="221"/>
      <c r="H14" s="520" t="s">
        <v>907</v>
      </c>
      <c r="I14" s="521" t="s">
        <v>922</v>
      </c>
    </row>
    <row r="15" spans="3:9" ht="17.25" customHeight="1">
      <c r="C15" s="221" t="s">
        <v>744</v>
      </c>
      <c r="D15" s="221" t="s">
        <v>744</v>
      </c>
      <c r="E15" s="250" t="str">
        <f>IF(ISNUMBER(SEARCH("현대자동차",'대기측정 분석결과서'!$E$4)),D15,C15)</f>
        <v>이황화탄소</v>
      </c>
      <c r="G15" s="221"/>
      <c r="H15" s="520" t="s">
        <v>908</v>
      </c>
      <c r="I15" s="521" t="s">
        <v>923</v>
      </c>
    </row>
    <row r="16" spans="3:9" ht="17.25" customHeight="1">
      <c r="C16" s="220" t="s">
        <v>745</v>
      </c>
      <c r="D16" s="220" t="s">
        <v>745</v>
      </c>
      <c r="E16" s="250" t="str">
        <f>IF(ISNUMBER(SEARCH("현대자동차",'대기측정 분석결과서'!$E$4)),D16,C16)</f>
        <v>황화수소</v>
      </c>
      <c r="G16" s="220"/>
      <c r="H16" s="520" t="s">
        <v>909</v>
      </c>
      <c r="I16" s="521" t="s">
        <v>924</v>
      </c>
    </row>
    <row r="17" spans="3:16" ht="17.25" customHeight="1">
      <c r="C17" s="220" t="s">
        <v>746</v>
      </c>
      <c r="D17" s="848" t="s">
        <v>1213</v>
      </c>
      <c r="E17" s="250" t="str">
        <f>IF(ISNUMBER(SEARCH("현대자동차",'대기측정 분석결과서'!$E$4)),D17,C17)</f>
        <v>플루오린화합물</v>
      </c>
      <c r="G17" s="220"/>
      <c r="H17" s="520" t="s">
        <v>910</v>
      </c>
      <c r="I17" s="521" t="s">
        <v>925</v>
      </c>
    </row>
    <row r="18" spans="3:16" ht="17.25" customHeight="1">
      <c r="C18" s="220" t="s">
        <v>747</v>
      </c>
      <c r="D18" s="848" t="s">
        <v>1197</v>
      </c>
      <c r="E18" s="250" t="str">
        <f>IF(ISNUMBER(SEARCH("현대자동차",'대기측정 분석결과서'!$E$4)),D18,C18)</f>
        <v>사이안화수소</v>
      </c>
      <c r="G18" s="220"/>
      <c r="H18" s="520" t="s">
        <v>911</v>
      </c>
      <c r="I18" s="521" t="s">
        <v>926</v>
      </c>
    </row>
    <row r="19" spans="3:16" ht="17.25" customHeight="1">
      <c r="C19" s="220" t="s">
        <v>748</v>
      </c>
      <c r="D19" s="848" t="s">
        <v>1218</v>
      </c>
      <c r="E19" s="250" t="str">
        <f>IF(ISNUMBER(SEARCH("현대자동차",'대기측정 분석결과서'!$E$4)),D19,C19)</f>
        <v>브로민화합물</v>
      </c>
      <c r="G19" s="220"/>
      <c r="H19" s="520" t="s">
        <v>912</v>
      </c>
      <c r="I19" s="521" t="s">
        <v>927</v>
      </c>
    </row>
    <row r="20" spans="3:16" ht="17.25" customHeight="1">
      <c r="C20" s="223" t="s">
        <v>749</v>
      </c>
      <c r="D20" s="850" t="s">
        <v>749</v>
      </c>
      <c r="E20" s="250" t="str">
        <f>IF(ISNUMBER(SEARCH("현대자동차",'대기측정 분석결과서'!$E$4)),D20,C20)</f>
        <v>페놀화합물</v>
      </c>
      <c r="G20" s="223"/>
      <c r="H20" s="520" t="s">
        <v>913</v>
      </c>
      <c r="I20" s="521" t="s">
        <v>928</v>
      </c>
    </row>
    <row r="21" spans="3:16" ht="17.25" customHeight="1">
      <c r="C21" s="49"/>
      <c r="D21" s="37"/>
      <c r="E21" s="250"/>
      <c r="G21" s="37"/>
      <c r="H21" s="520"/>
      <c r="I21" s="521"/>
    </row>
    <row r="22" spans="3:16" ht="17.25" customHeight="1">
      <c r="C22" s="769" t="s">
        <v>836</v>
      </c>
      <c r="D22" s="847" t="s">
        <v>1082</v>
      </c>
      <c r="E22" s="250" t="str">
        <f>IF(ISNUMBER(SEARCH("현대자동차",'대기측정 분석결과서'!$E$4)),D22,C22)</f>
        <v>비소</v>
      </c>
      <c r="F22" s="769" t="s">
        <v>611</v>
      </c>
      <c r="G22" s="375"/>
      <c r="H22" s="520" t="s">
        <v>929</v>
      </c>
      <c r="I22" s="521" t="s">
        <v>932</v>
      </c>
    </row>
    <row r="23" spans="3:16" ht="17.25" customHeight="1">
      <c r="C23" s="769" t="s">
        <v>837</v>
      </c>
      <c r="D23" s="847" t="s">
        <v>1209</v>
      </c>
      <c r="E23" s="250" t="str">
        <f>IF(ISNUMBER(SEARCH("현대자동차",'대기측정 분석결과서'!$E$4)),D23,C23)</f>
        <v>카드뮴</v>
      </c>
      <c r="F23" s="769" t="s">
        <v>611</v>
      </c>
      <c r="G23" s="375"/>
      <c r="H23" s="520" t="s">
        <v>930</v>
      </c>
      <c r="I23" s="521" t="s">
        <v>933</v>
      </c>
      <c r="P23" s="847"/>
    </row>
    <row r="24" spans="3:16" ht="17.25" customHeight="1">
      <c r="C24" s="769" t="s">
        <v>471</v>
      </c>
      <c r="D24" s="847" t="s">
        <v>1210</v>
      </c>
      <c r="E24" s="250" t="str">
        <f>IF(ISNUMBER(SEARCH("현대자동차",'대기측정 분석결과서'!$E$4)),D24,C24)</f>
        <v>납</v>
      </c>
      <c r="F24" s="769" t="s">
        <v>611</v>
      </c>
      <c r="G24" s="375"/>
      <c r="H24" s="520" t="s">
        <v>931</v>
      </c>
      <c r="I24" s="521" t="s">
        <v>934</v>
      </c>
      <c r="P24" s="769"/>
    </row>
    <row r="25" spans="3:16">
      <c r="C25" s="769" t="s">
        <v>838</v>
      </c>
      <c r="D25" s="847" t="s">
        <v>1211</v>
      </c>
      <c r="E25" s="250" t="str">
        <f>IF(ISNUMBER(SEARCH("현대자동차",'대기측정 분석결과서'!$E$4)),D25,C25)</f>
        <v>크로뮴</v>
      </c>
      <c r="F25" s="769" t="s">
        <v>611</v>
      </c>
      <c r="G25" s="375"/>
      <c r="P25" s="847"/>
    </row>
    <row r="26" spans="3:16">
      <c r="C26" s="769" t="s">
        <v>470</v>
      </c>
      <c r="D26" s="847" t="s">
        <v>1220</v>
      </c>
      <c r="E26" s="250" t="str">
        <f>IF(ISNUMBER(SEARCH("현대자동차",'대기측정 분석결과서'!$E$4)),D26,C26)</f>
        <v>구리</v>
      </c>
      <c r="F26" s="769" t="s">
        <v>611</v>
      </c>
      <c r="G26" s="375"/>
      <c r="P26" s="847"/>
    </row>
    <row r="27" spans="3:16">
      <c r="C27" s="769" t="s">
        <v>468</v>
      </c>
      <c r="D27" s="847" t="s">
        <v>1214</v>
      </c>
      <c r="E27" s="250" t="str">
        <f>IF(ISNUMBER(SEARCH("현대자동차",'대기측정 분석결과서'!$E$4)),D27,C27)</f>
        <v>니켈</v>
      </c>
      <c r="F27" s="769" t="s">
        <v>611</v>
      </c>
      <c r="G27" s="375"/>
      <c r="P27" s="847"/>
    </row>
    <row r="28" spans="3:16">
      <c r="C28" s="769" t="s">
        <v>469</v>
      </c>
      <c r="D28" s="847" t="s">
        <v>1219</v>
      </c>
      <c r="E28" s="250" t="str">
        <f>IF(ISNUMBER(SEARCH("현대자동차",'대기측정 분석결과서'!$E$4)),D28,C28)</f>
        <v>아연</v>
      </c>
      <c r="F28" s="769" t="s">
        <v>611</v>
      </c>
      <c r="G28" s="375"/>
      <c r="P28" s="847"/>
    </row>
    <row r="29" spans="3:16">
      <c r="C29" s="769" t="s">
        <v>839</v>
      </c>
      <c r="D29" s="847" t="s">
        <v>1212</v>
      </c>
      <c r="E29" s="250" t="str">
        <f>IF(ISNUMBER(SEARCH("현대자동차",'대기측정 분석결과서'!$E$4)),D29,C29)</f>
        <v>수은</v>
      </c>
      <c r="F29" s="769" t="s">
        <v>610</v>
      </c>
      <c r="G29" s="375"/>
      <c r="I29" s="60"/>
      <c r="J29" s="60"/>
      <c r="K29" s="375"/>
      <c r="L29" s="375"/>
      <c r="M29" s="217"/>
      <c r="N29" s="216"/>
      <c r="O29" s="214"/>
      <c r="P29" s="847"/>
    </row>
    <row r="30" spans="3:16">
      <c r="C30" s="769" t="s">
        <v>840</v>
      </c>
      <c r="D30" s="769" t="s">
        <v>1198</v>
      </c>
      <c r="E30" s="250" t="str">
        <f>IF(ISNUMBER(SEARCH("현대자동차",'대기측정 분석결과서'!$E$4)),D30,C30)</f>
        <v>베릴륨</v>
      </c>
      <c r="F30" s="769" t="s">
        <v>611</v>
      </c>
      <c r="G30" s="375"/>
      <c r="I30" s="60"/>
      <c r="K30" s="375"/>
      <c r="M30" s="214"/>
      <c r="N30" s="214"/>
      <c r="O30" s="214"/>
      <c r="P30" s="847"/>
    </row>
    <row r="31" spans="3:16">
      <c r="C31" s="49"/>
      <c r="D31" s="38"/>
      <c r="E31" s="250"/>
      <c r="F31" s="92"/>
      <c r="G31" s="38"/>
      <c r="I31" s="60"/>
      <c r="K31" s="375"/>
      <c r="M31" s="217"/>
      <c r="N31" s="217"/>
      <c r="O31" s="214"/>
      <c r="P31" s="847"/>
    </row>
    <row r="32" spans="3:16">
      <c r="C32" s="216" t="s">
        <v>750</v>
      </c>
      <c r="D32" s="849" t="s">
        <v>1215</v>
      </c>
      <c r="E32" s="250" t="str">
        <f>IF(ISNUMBER(SEARCH("현대자동차",'대기측정 분석결과서'!$E$4)),D32,C32)</f>
        <v>염화바이닐</v>
      </c>
      <c r="F32" s="769" t="s">
        <v>1031</v>
      </c>
      <c r="G32" s="216"/>
      <c r="K32" s="375"/>
      <c r="M32" s="217"/>
    </row>
    <row r="33" spans="3:13">
      <c r="C33" s="214" t="s">
        <v>751</v>
      </c>
      <c r="D33" s="848" t="s">
        <v>1217</v>
      </c>
      <c r="E33" s="250" t="str">
        <f>IF(ISNUMBER(SEARCH("현대자동차",'대기측정 분석결과서'!$E$4)),D33,C33)</f>
        <v>1,3-뷰타다이엔</v>
      </c>
      <c r="F33" s="769" t="s">
        <v>1031</v>
      </c>
      <c r="G33" s="214"/>
      <c r="K33" s="375"/>
      <c r="M33" s="217"/>
    </row>
    <row r="34" spans="3:13">
      <c r="C34" s="217" t="s">
        <v>752</v>
      </c>
      <c r="D34" s="217" t="s">
        <v>1199</v>
      </c>
      <c r="E34" s="250" t="str">
        <f>IF(ISNUMBER(SEARCH("현대자동차",'대기측정 분석결과서'!$E$4)),D34,C34)</f>
        <v>다이클로로메테인</v>
      </c>
      <c r="F34" s="771" t="s">
        <v>1176</v>
      </c>
      <c r="G34" s="217"/>
      <c r="K34" s="375"/>
      <c r="M34" s="225"/>
    </row>
    <row r="35" spans="3:13">
      <c r="C35" s="214" t="s">
        <v>753</v>
      </c>
      <c r="D35" s="214" t="s">
        <v>1200</v>
      </c>
      <c r="E35" s="250" t="str">
        <f>IF(ISNUMBER(SEARCH("현대자동차",'대기측정 분석결과서'!$E$4)),D35,C35)</f>
        <v>아크릴로나이트릴</v>
      </c>
      <c r="F35" s="771" t="s">
        <v>1176</v>
      </c>
      <c r="G35" s="214"/>
      <c r="K35" s="375"/>
      <c r="M35" s="225"/>
    </row>
    <row r="36" spans="3:13">
      <c r="C36" s="217" t="s">
        <v>754</v>
      </c>
      <c r="D36" s="851" t="s">
        <v>1216</v>
      </c>
      <c r="E36" s="250" t="str">
        <f>IF(ISNUMBER(SEARCH("현대자동차",'대기측정 분석결과서'!$E$4)),D36,C36)</f>
        <v>클로로폼</v>
      </c>
      <c r="F36" s="771" t="s">
        <v>1176</v>
      </c>
      <c r="G36" s="217"/>
      <c r="K36" s="375"/>
      <c r="M36" s="225"/>
    </row>
    <row r="37" spans="3:13">
      <c r="C37" s="217" t="s">
        <v>755</v>
      </c>
      <c r="D37" s="217" t="s">
        <v>755</v>
      </c>
      <c r="E37" s="250" t="str">
        <f>IF(ISNUMBER(SEARCH("현대자동차",'대기측정 분석결과서'!$E$4)),D37,C37)</f>
        <v>사염화탄소</v>
      </c>
      <c r="F37" s="769" t="s">
        <v>1031</v>
      </c>
      <c r="G37" s="217"/>
      <c r="M37" s="225"/>
    </row>
    <row r="38" spans="3:13">
      <c r="C38" s="217" t="s">
        <v>756</v>
      </c>
      <c r="D38" s="217" t="s">
        <v>756</v>
      </c>
      <c r="E38" s="250" t="str">
        <f>IF(ISNUMBER(SEARCH("현대자동차",'대기측정 분석결과서'!$E$4)),D38,C38)</f>
        <v>벤젠</v>
      </c>
      <c r="F38" s="771" t="s">
        <v>1176</v>
      </c>
      <c r="G38" s="217"/>
      <c r="M38" s="214"/>
    </row>
    <row r="39" spans="3:13">
      <c r="C39" s="217" t="s">
        <v>757</v>
      </c>
      <c r="D39" s="851" t="s">
        <v>1221</v>
      </c>
      <c r="E39" s="250" t="str">
        <f>IF(ISNUMBER(SEARCH("현대자동차",'대기측정 분석결과서'!$E$4)),D39,C39)</f>
        <v>1,2-다이클로로에테인</v>
      </c>
      <c r="F39" s="771" t="s">
        <v>1176</v>
      </c>
      <c r="G39" s="217"/>
      <c r="M39" s="214"/>
    </row>
    <row r="40" spans="3:13">
      <c r="C40" s="225" t="s">
        <v>758</v>
      </c>
      <c r="D40" s="851" t="s">
        <v>1222</v>
      </c>
      <c r="E40" s="250" t="str">
        <f>IF(ISNUMBER(SEARCH("현대자동차",'대기측정 분석결과서'!$E$4)),D40,C40)</f>
        <v>트라이클로로에틸렌</v>
      </c>
      <c r="F40" s="771" t="s">
        <v>1176</v>
      </c>
      <c r="G40" s="225"/>
      <c r="M40" s="214"/>
    </row>
    <row r="41" spans="3:13">
      <c r="C41" s="225" t="s">
        <v>759</v>
      </c>
      <c r="D41" s="225" t="s">
        <v>759</v>
      </c>
      <c r="E41" s="250" t="str">
        <f>IF(ISNUMBER(SEARCH("현대자동차",'대기측정 분석결과서'!$E$4)),D41,C41)</f>
        <v>톨루엔</v>
      </c>
      <c r="F41" s="771" t="s">
        <v>1176</v>
      </c>
      <c r="G41" s="225"/>
      <c r="I41" s="225"/>
    </row>
    <row r="42" spans="3:13">
      <c r="C42" s="225" t="s">
        <v>760</v>
      </c>
      <c r="D42" s="225" t="s">
        <v>760</v>
      </c>
      <c r="E42" s="250" t="str">
        <f>IF(ISNUMBER(SEARCH("현대자동차",'대기측정 분석결과서'!$E$4)),D42,C42)</f>
        <v>테트라클로로에틸렌</v>
      </c>
      <c r="F42" s="771" t="s">
        <v>1176</v>
      </c>
      <c r="G42" s="225"/>
      <c r="I42" s="225"/>
    </row>
    <row r="43" spans="3:13">
      <c r="C43" s="225" t="s">
        <v>761</v>
      </c>
      <c r="D43" s="225" t="s">
        <v>761</v>
      </c>
      <c r="E43" s="250" t="str">
        <f>IF(ISNUMBER(SEARCH("현대자동차",'대기측정 분석결과서'!$E$4)),D43,C43)</f>
        <v>에틸벤젠</v>
      </c>
      <c r="F43" s="771" t="s">
        <v>1176</v>
      </c>
      <c r="G43" s="225"/>
      <c r="I43" s="214"/>
    </row>
    <row r="44" spans="3:13">
      <c r="C44" s="214" t="s">
        <v>762</v>
      </c>
      <c r="D44" s="214" t="s">
        <v>762</v>
      </c>
      <c r="E44" s="250" t="str">
        <f>IF(ISNUMBER(SEARCH("현대자동차",'대기측정 분석결과서'!$E$4)),D44,C44)</f>
        <v>자일렌</v>
      </c>
      <c r="F44" s="771" t="s">
        <v>1176</v>
      </c>
      <c r="G44" s="214"/>
      <c r="I44" s="225"/>
    </row>
    <row r="45" spans="3:13">
      <c r="C45" s="214" t="s">
        <v>763</v>
      </c>
      <c r="D45" s="214" t="s">
        <v>1201</v>
      </c>
      <c r="E45" s="250" t="str">
        <f>IF(ISNUMBER(SEARCH("현대자동차",'대기측정 분석결과서'!$E$4)),D45,C45)</f>
        <v>스타이렌</v>
      </c>
      <c r="F45" s="771" t="s">
        <v>1176</v>
      </c>
      <c r="G45" s="214"/>
      <c r="I45" s="214"/>
    </row>
    <row r="46" spans="3:13">
      <c r="C46" s="214"/>
      <c r="D46" s="214"/>
      <c r="E46" s="250"/>
      <c r="F46" s="227"/>
      <c r="G46" s="214"/>
    </row>
    <row r="47" spans="3:13">
      <c r="C47" s="214" t="s">
        <v>855</v>
      </c>
      <c r="D47" s="214" t="s">
        <v>855</v>
      </c>
      <c r="E47" s="250" t="str">
        <f>IF(ISNUMBER(SEARCH("현대자동차",'대기측정 분석결과서'!$E$4)),D47,C47)</f>
        <v>이황화메틸</v>
      </c>
      <c r="F47" s="227" t="s">
        <v>1177</v>
      </c>
      <c r="G47" s="214"/>
    </row>
    <row r="48" spans="3:13">
      <c r="C48" s="49"/>
      <c r="D48" s="38"/>
      <c r="E48" s="250"/>
      <c r="F48" s="92"/>
      <c r="G48" s="38"/>
    </row>
    <row r="49" spans="3:7">
      <c r="C49" s="214" t="s">
        <v>766</v>
      </c>
      <c r="D49" s="214" t="s">
        <v>1202</v>
      </c>
      <c r="E49" s="250" t="str">
        <f>IF(ISNUMBER(SEARCH("현대자동차",'대기측정 분석결과서'!$E$4)),D49,C49)</f>
        <v>폼알데하이드</v>
      </c>
      <c r="F49" s="227" t="s">
        <v>1178</v>
      </c>
      <c r="G49" s="214"/>
    </row>
    <row r="50" spans="3:7">
      <c r="C50" s="214" t="s">
        <v>764</v>
      </c>
      <c r="D50" s="214" t="s">
        <v>1203</v>
      </c>
      <c r="E50" s="250" t="str">
        <f>IF(ISNUMBER(SEARCH("현대자동차",'대기측정 분석결과서'!$E$4)),D50,C50)</f>
        <v>아세트알데하이드</v>
      </c>
      <c r="F50" s="227" t="s">
        <v>1178</v>
      </c>
      <c r="G50" s="214"/>
    </row>
    <row r="51" spans="3:7" ht="17.25" thickBot="1">
      <c r="C51" s="226" t="s">
        <v>765</v>
      </c>
      <c r="D51" s="226" t="s">
        <v>765</v>
      </c>
      <c r="E51" s="250" t="str">
        <f>IF(ISNUMBER(SEARCH("현대자동차",'대기측정 분석결과서'!$E$4)),D51,C51)</f>
        <v>아크롤레인</v>
      </c>
      <c r="F51" s="227" t="s">
        <v>1178</v>
      </c>
      <c r="G51" s="214"/>
    </row>
  </sheetData>
  <phoneticPr fontId="2" type="noConversion"/>
  <dataValidations count="1">
    <dataValidation type="list" allowBlank="1" showInputMessage="1" showErrorMessage="1" sqref="G33" xr:uid="{F2D3395F-9C4D-45D0-AC8B-B7A37BCFC5FD}">
      <formula1>측정시간_옵티마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008-9BF4-4FED-AE7F-9048E82D9FC2}">
  <sheetPr>
    <tabColor rgb="FF7030A0"/>
  </sheetPr>
  <dimension ref="A1:AO45"/>
  <sheetViews>
    <sheetView view="pageBreakPreview" topLeftCell="J8" zoomScaleNormal="100" zoomScaleSheetLayoutView="100" zoomScalePageLayoutView="70" workbookViewId="0">
      <selection activeCell="Y19" sqref="Y19"/>
    </sheetView>
  </sheetViews>
  <sheetFormatPr defaultColWidth="9" defaultRowHeight="16.899999999999999"/>
  <cols>
    <col min="1" max="1" width="2.875" style="427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0" width="5.375" style="54" customWidth="1"/>
    <col min="11" max="11" width="5.5" style="54" customWidth="1"/>
    <col min="12" max="12" width="3" style="54" bestFit="1" customWidth="1"/>
    <col min="13" max="13" width="4.625" style="54" customWidth="1"/>
    <col min="14" max="14" width="5.5" style="54" customWidth="1"/>
    <col min="15" max="15" width="4.75" style="54" customWidth="1"/>
    <col min="16" max="16" width="1.75" style="54" customWidth="1"/>
    <col min="17" max="17" width="3.625" style="54" customWidth="1"/>
    <col min="18" max="18" width="5.5" style="54" customWidth="1"/>
    <col min="19" max="19" width="3.625" style="54" customWidth="1"/>
    <col min="20" max="20" width="12.5" style="54" customWidth="1"/>
    <col min="21" max="21" width="5.625" style="54" customWidth="1"/>
    <col min="22" max="27" width="4.5" style="54" customWidth="1"/>
    <col min="28" max="28" width="4.625" style="54" customWidth="1"/>
    <col min="29" max="33" width="4.5" style="54" customWidth="1"/>
    <col min="34" max="35" width="4.125" style="54" customWidth="1"/>
    <col min="36" max="16384" width="9" style="54"/>
  </cols>
  <sheetData>
    <row r="1" spans="1:41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</row>
    <row r="2" spans="1:41" ht="40.5" customHeight="1" thickBot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</row>
    <row r="3" spans="1:41" ht="17.100000000000001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  <c r="W3" s="554" t="s">
        <v>1079</v>
      </c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5"/>
      <c r="AL3" s="782"/>
    </row>
    <row r="4" spans="1:41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1142</v>
      </c>
      <c r="N4" s="1466"/>
      <c r="O4" s="1467"/>
      <c r="P4" s="1465">
        <f>IF('대기측정 분석결과서'!E12="",B23,'대기측정 분석결과서'!E12)</f>
        <v>0</v>
      </c>
      <c r="Q4" s="1466"/>
      <c r="R4" s="1466"/>
      <c r="S4" s="1466"/>
      <c r="T4" s="1530"/>
      <c r="W4" s="1573" t="s">
        <v>609</v>
      </c>
      <c r="X4" s="1573"/>
      <c r="Y4" s="1573" t="s">
        <v>631</v>
      </c>
      <c r="Z4" s="1573"/>
      <c r="AA4" s="1573" t="s">
        <v>632</v>
      </c>
      <c r="AB4" s="1573"/>
      <c r="AC4" s="1573" t="s">
        <v>740</v>
      </c>
      <c r="AD4" s="1573"/>
      <c r="AE4" s="1573" t="s">
        <v>883</v>
      </c>
      <c r="AF4" s="1573"/>
      <c r="AG4" s="1573" t="s">
        <v>1070</v>
      </c>
      <c r="AH4" s="1573"/>
      <c r="AI4" s="1573" t="s">
        <v>1141</v>
      </c>
      <c r="AJ4" s="1573"/>
      <c r="AK4" s="404" t="s">
        <v>634</v>
      </c>
      <c r="AL4" s="403" t="s">
        <v>633</v>
      </c>
      <c r="AM4" s="410" t="s">
        <v>1224</v>
      </c>
    </row>
    <row r="5" spans="1:41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845</v>
      </c>
      <c r="N5" s="1515"/>
      <c r="O5" s="1532"/>
      <c r="P5" s="1531" t="str">
        <f>'대기측정 분석결과서'!E10&amp;" 종"</f>
        <v xml:space="preserve"> 종</v>
      </c>
      <c r="Q5" s="1515"/>
      <c r="R5" s="1515"/>
      <c r="S5" s="1515"/>
      <c r="T5" s="151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1566"/>
      <c r="AK5" s="405"/>
      <c r="AL5" s="405"/>
      <c r="AM5" s="405"/>
    </row>
    <row r="6" spans="1:41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W6" s="1566"/>
      <c r="X6" s="1566"/>
      <c r="Y6" s="1566"/>
      <c r="Z6" s="1566"/>
      <c r="AA6" s="1566"/>
      <c r="AB6" s="1566"/>
      <c r="AC6" s="1566"/>
      <c r="AD6" s="1566"/>
      <c r="AE6" s="1566"/>
      <c r="AF6" s="1566"/>
      <c r="AG6" s="1574"/>
      <c r="AH6" s="1574"/>
      <c r="AI6" s="1566"/>
      <c r="AJ6" s="1566"/>
      <c r="AK6" s="406"/>
      <c r="AL6" s="406"/>
      <c r="AM6" s="406"/>
    </row>
    <row r="7" spans="1:41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W7" s="1573" t="s">
        <v>608</v>
      </c>
      <c r="X7" s="1573"/>
      <c r="Y7" s="1573" t="s">
        <v>1078</v>
      </c>
      <c r="Z7" s="1573"/>
      <c r="AA7" s="1573"/>
      <c r="AB7" s="1573"/>
      <c r="AC7" s="1573" t="s">
        <v>733</v>
      </c>
      <c r="AD7" s="1573"/>
      <c r="AE7" s="378"/>
      <c r="AF7" s="378"/>
      <c r="AG7" s="1575"/>
      <c r="AH7" s="1576"/>
      <c r="AI7" s="1575"/>
      <c r="AJ7" s="1576"/>
      <c r="AK7" s="407"/>
      <c r="AL7" s="408"/>
    </row>
    <row r="8" spans="1:41" ht="17.100000000000001" customHeight="1" thickTop="1" thickBot="1">
      <c r="A8" s="1489"/>
      <c r="B8" s="1491" t="s">
        <v>1166</v>
      </c>
      <c r="C8" s="1472"/>
      <c r="D8" s="1472"/>
      <c r="E8" s="1475"/>
      <c r="F8" s="1458" t="s">
        <v>1143</v>
      </c>
      <c r="G8" s="1459"/>
      <c r="H8" s="1459"/>
      <c r="I8" s="1459"/>
      <c r="J8" s="1459"/>
      <c r="K8" s="1459"/>
      <c r="L8" s="1460"/>
      <c r="M8" s="1511" t="s">
        <v>1165</v>
      </c>
      <c r="N8" s="1511"/>
      <c r="O8" s="1511" t="s">
        <v>1164</v>
      </c>
      <c r="P8" s="1511"/>
      <c r="Q8" s="1511"/>
      <c r="R8" s="1511"/>
      <c r="S8" s="1551" t="s">
        <v>1163</v>
      </c>
      <c r="T8" s="1504"/>
      <c r="W8" s="1573" t="s">
        <v>823</v>
      </c>
      <c r="X8" s="1573"/>
      <c r="Y8" s="1573" t="s">
        <v>1068</v>
      </c>
      <c r="Z8" s="1573"/>
      <c r="AA8" s="1573"/>
      <c r="AB8" s="1573"/>
      <c r="AC8" s="1573" t="s">
        <v>1068</v>
      </c>
      <c r="AD8" s="1573"/>
      <c r="AE8" s="378"/>
      <c r="AF8" s="378"/>
      <c r="AG8" s="1577" t="s">
        <v>1073</v>
      </c>
      <c r="AH8" s="1578"/>
      <c r="AI8" s="1577" t="s">
        <v>822</v>
      </c>
      <c r="AJ8" s="1578"/>
      <c r="AK8" s="410" t="s">
        <v>1074</v>
      </c>
      <c r="AL8" s="411"/>
    </row>
    <row r="9" spans="1:41" ht="17.100000000000001" customHeight="1" thickTop="1" thickBot="1">
      <c r="A9" s="1489"/>
      <c r="B9" s="1490"/>
      <c r="C9" s="1477"/>
      <c r="D9" s="1477"/>
      <c r="E9" s="1478"/>
      <c r="F9" s="1465">
        <f>'대기측정 분석결과서'!E9</f>
        <v>0</v>
      </c>
      <c r="G9" s="1466"/>
      <c r="H9" s="1466"/>
      <c r="I9" s="1466"/>
      <c r="J9" s="1466"/>
      <c r="K9" s="1466"/>
      <c r="L9" s="1466"/>
      <c r="M9" s="1511" t="str">
        <f>'한종_시료채취기록지 '!N3&amp;" m"</f>
        <v>0 m</v>
      </c>
      <c r="N9" s="1511"/>
      <c r="O9" s="151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511"/>
      <c r="Q9" s="1511"/>
      <c r="R9" s="1511"/>
      <c r="S9" s="1503" t="str">
        <f>'대기측정 분석결과서'!E11&amp;" 종"</f>
        <v xml:space="preserve"> 종</v>
      </c>
      <c r="T9" s="1504"/>
      <c r="W9" s="1566"/>
      <c r="X9" s="1566"/>
      <c r="Y9" s="1566"/>
      <c r="Z9" s="1566"/>
      <c r="AA9" s="1566"/>
      <c r="AB9" s="1566"/>
      <c r="AC9" s="1566"/>
      <c r="AD9" s="1566"/>
      <c r="AE9" s="378"/>
      <c r="AF9" s="378"/>
      <c r="AG9" s="1579"/>
      <c r="AH9" s="1580"/>
      <c r="AI9" s="1579"/>
      <c r="AJ9" s="1580"/>
      <c r="AK9" s="405"/>
      <c r="AL9" s="378"/>
    </row>
    <row r="10" spans="1:41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W10" s="1566"/>
      <c r="X10" s="1566"/>
      <c r="Y10" s="1566"/>
      <c r="Z10" s="1566"/>
      <c r="AA10" s="1566"/>
      <c r="AB10" s="1566"/>
      <c r="AC10" s="1566"/>
      <c r="AD10" s="1566"/>
      <c r="AE10" s="378"/>
      <c r="AF10" s="378"/>
      <c r="AG10" s="1581"/>
      <c r="AH10" s="1582"/>
      <c r="AI10" s="1581"/>
      <c r="AJ10" s="1582"/>
      <c r="AK10" s="406"/>
      <c r="AL10" s="378"/>
    </row>
    <row r="11" spans="1:41" ht="18.600000000000001" customHeight="1" thickTop="1">
      <c r="A11" s="1488" t="s">
        <v>348</v>
      </c>
      <c r="B11" s="1473" t="s">
        <v>349</v>
      </c>
      <c r="C11" s="1473"/>
      <c r="D11" s="1473"/>
      <c r="E11" s="1473"/>
      <c r="F11" s="1458" t="s">
        <v>1144</v>
      </c>
      <c r="G11" s="1460"/>
      <c r="H11" s="1458" t="s">
        <v>1162</v>
      </c>
      <c r="I11" s="1460"/>
      <c r="J11" s="1458" t="s">
        <v>1161</v>
      </c>
      <c r="K11" s="1459"/>
      <c r="L11" s="1460"/>
      <c r="M11" s="1458" t="s">
        <v>1160</v>
      </c>
      <c r="N11" s="1459"/>
      <c r="O11" s="1460"/>
      <c r="P11" s="1458" t="s">
        <v>1159</v>
      </c>
      <c r="Q11" s="1459"/>
      <c r="R11" s="1460"/>
      <c r="S11" s="1459" t="s">
        <v>1233</v>
      </c>
      <c r="T11" s="1519"/>
      <c r="W11" s="54" t="s">
        <v>1188</v>
      </c>
    </row>
    <row r="12" spans="1:41" ht="18.600000000000001" customHeight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1557">
        <f>'대기측정 분석결과서'!I17</f>
        <v>0</v>
      </c>
      <c r="I12" s="1558"/>
      <c r="J12" s="1559">
        <f>'대기측정 분석결과서'!M17</f>
        <v>0</v>
      </c>
      <c r="K12" s="1560"/>
      <c r="L12" s="1561"/>
      <c r="M12" s="1559">
        <f>'대기측정 분석결과서'!Q17</f>
        <v>0</v>
      </c>
      <c r="N12" s="1560"/>
      <c r="O12" s="1561"/>
      <c r="P12" s="1559">
        <f>'대기측정 분석결과서'!V17</f>
        <v>0</v>
      </c>
      <c r="Q12" s="1560"/>
      <c r="R12" s="1561"/>
      <c r="S12" s="1560">
        <f>'대기측정 분석결과서'!AA17</f>
        <v>0</v>
      </c>
      <c r="T12" s="1562"/>
      <c r="AE12"/>
      <c r="AL12" s="417"/>
    </row>
    <row r="13" spans="1:41" customFormat="1" ht="18.600000000000001" customHeight="1">
      <c r="A13" s="1489"/>
      <c r="B13" s="1537" t="s">
        <v>461</v>
      </c>
      <c r="C13" s="1538"/>
      <c r="D13" s="1538"/>
      <c r="E13" s="1539"/>
      <c r="F13" s="1512" t="s">
        <v>952</v>
      </c>
      <c r="G13" s="1513"/>
      <c r="H13" s="1546"/>
      <c r="I13" s="1512" t="s">
        <v>1158</v>
      </c>
      <c r="J13" s="1513"/>
      <c r="K13" s="1513"/>
      <c r="L13" s="1546"/>
      <c r="M13" s="1512" t="s">
        <v>1145</v>
      </c>
      <c r="N13" s="1513"/>
      <c r="O13" s="1513"/>
      <c r="P13" s="1513"/>
      <c r="Q13" s="1546"/>
      <c r="R13" s="1513" t="s">
        <v>1146</v>
      </c>
      <c r="S13" s="1513"/>
      <c r="T13" s="1514"/>
      <c r="AA13" s="553"/>
      <c r="AB13" s="553"/>
      <c r="AC13" s="553"/>
      <c r="AD13" s="553"/>
      <c r="AE13" s="1583"/>
      <c r="AF13" s="1583"/>
      <c r="AG13" s="1583"/>
      <c r="AH13" s="1583"/>
      <c r="AI13" s="1583"/>
      <c r="AJ13" s="1583"/>
      <c r="AK13" s="1583"/>
      <c r="AL13" s="1583"/>
    </row>
    <row r="14" spans="1:41" customFormat="1" ht="18.600000000000001" customHeight="1">
      <c r="A14" s="1489"/>
      <c r="B14" s="1540"/>
      <c r="C14" s="1541"/>
      <c r="D14" s="1541"/>
      <c r="E14" s="1542"/>
      <c r="F14" s="1512" t="str">
        <f>IF('먼지측정 사전 Data'!R13=20.9,"-",'먼지측정 사전 Data'!R13&amp;" %")</f>
        <v>-</v>
      </c>
      <c r="G14" s="1513"/>
      <c r="H14" s="1546"/>
      <c r="I14" s="1512" t="str">
        <f>'먼지측정 사전 Data'!H14&amp;" %"</f>
        <v>0 %</v>
      </c>
      <c r="J14" s="1513"/>
      <c r="K14" s="1513"/>
      <c r="L14" s="1546"/>
      <c r="M14" s="1512" t="e">
        <f>'시험일지(계산일지-2)'!R11&amp;" S㎥/분"</f>
        <v>#DIV/0!</v>
      </c>
      <c r="N14" s="1513"/>
      <c r="O14" s="1513"/>
      <c r="P14" s="1513"/>
      <c r="Q14" s="1546"/>
      <c r="R14" s="1513" t="e">
        <f>'시험일지(계산일지-2)'!Q21&amp;" S㎥/분"</f>
        <v>#DIV/0!</v>
      </c>
      <c r="S14" s="1513"/>
      <c r="T14" s="1514"/>
      <c r="W14" s="48"/>
      <c r="AA14" s="1583"/>
      <c r="AB14" s="1583"/>
      <c r="AC14" s="1583"/>
      <c r="AD14" s="1583"/>
      <c r="AE14" s="1583"/>
      <c r="AF14" s="1583"/>
      <c r="AG14" s="1583"/>
      <c r="AH14" s="1583"/>
      <c r="AI14" s="1583"/>
      <c r="AJ14" s="1583"/>
      <c r="AK14" s="1583"/>
      <c r="AL14" s="1583"/>
    </row>
    <row r="15" spans="1:41" customFormat="1" ht="18.600000000000001" customHeight="1">
      <c r="A15" s="1489"/>
      <c r="B15" s="1540"/>
      <c r="C15" s="1541"/>
      <c r="D15" s="1541"/>
      <c r="E15" s="1542"/>
      <c r="F15" s="1512" t="s">
        <v>5</v>
      </c>
      <c r="G15" s="1513"/>
      <c r="H15" s="1546"/>
      <c r="I15" s="1512" t="s">
        <v>732</v>
      </c>
      <c r="J15" s="1513"/>
      <c r="K15" s="1513"/>
      <c r="L15" s="1546"/>
      <c r="M15" s="1512" t="s">
        <v>1147</v>
      </c>
      <c r="N15" s="1513"/>
      <c r="O15" s="1513"/>
      <c r="P15" s="1513"/>
      <c r="Q15" s="1546"/>
      <c r="R15" s="1512" t="s">
        <v>1148</v>
      </c>
      <c r="S15" s="1513"/>
      <c r="T15" s="1514"/>
      <c r="V15" s="54"/>
      <c r="W15" s="54"/>
      <c r="X15" s="54"/>
      <c r="Y15" s="54"/>
      <c r="Z15" s="54"/>
      <c r="AA15" s="1476"/>
      <c r="AB15" s="1476"/>
      <c r="AC15" s="1476"/>
      <c r="AD15" s="1476"/>
      <c r="AE15" s="1476"/>
      <c r="AF15" s="1476"/>
      <c r="AG15" s="1476"/>
      <c r="AH15" s="1476"/>
      <c r="AI15" s="1476"/>
      <c r="AJ15" s="1476"/>
      <c r="AK15" s="1476"/>
      <c r="AL15" s="1476"/>
      <c r="AM15" s="54"/>
      <c r="AN15" s="54"/>
      <c r="AO15" s="54"/>
    </row>
    <row r="16" spans="1:41" ht="18.600000000000001" customHeight="1">
      <c r="A16" s="1489"/>
      <c r="B16" s="1543"/>
      <c r="C16" s="1544"/>
      <c r="D16" s="1544"/>
      <c r="E16" s="1545"/>
      <c r="F16" s="1512" t="e">
        <f>'먼지측정 사전 Data'!H59&amp;" %"</f>
        <v>#DIV/0!</v>
      </c>
      <c r="G16" s="1513"/>
      <c r="H16" s="1546"/>
      <c r="I16" s="1552" t="e">
        <f>'먼지측정 사전 Data'!R69&amp;" ℃"</f>
        <v>#DIV/0!</v>
      </c>
      <c r="J16" s="1553"/>
      <c r="K16" s="1553"/>
      <c r="L16" s="1554"/>
      <c r="M16" s="1563" t="e">
        <f>'먼지측정 사전 Data'!R82&amp;" m/s"</f>
        <v>#DIV/0!</v>
      </c>
      <c r="N16" s="1564"/>
      <c r="O16" s="1564"/>
      <c r="P16" s="1564"/>
      <c r="Q16" s="1565"/>
      <c r="R16" s="1547" t="s">
        <v>158</v>
      </c>
      <c r="S16" s="1548"/>
      <c r="T16" s="1549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  <c r="AL16" s="1476"/>
    </row>
    <row r="17" spans="1:40" ht="18" customHeight="1">
      <c r="A17" s="1489"/>
      <c r="B17" s="1471" t="s">
        <v>1157</v>
      </c>
      <c r="C17" s="1472"/>
      <c r="D17" s="1472"/>
      <c r="E17" s="1475"/>
      <c r="F17" s="1458" t="s">
        <v>575</v>
      </c>
      <c r="G17" s="1459"/>
      <c r="H17" s="1459"/>
      <c r="I17" s="1459"/>
      <c r="J17" s="1459"/>
      <c r="K17" s="1459"/>
      <c r="L17" s="1460"/>
      <c r="M17" s="1459" t="s">
        <v>1149</v>
      </c>
      <c r="N17" s="1459"/>
      <c r="O17" s="1459"/>
      <c r="P17" s="1459"/>
      <c r="Q17" s="1460"/>
      <c r="R17" s="1458" t="s">
        <v>577</v>
      </c>
      <c r="S17" s="1459"/>
      <c r="T17" s="1519"/>
      <c r="AA17" s="1584"/>
      <c r="AB17" s="1584"/>
      <c r="AC17" s="1584"/>
      <c r="AD17" s="1584"/>
      <c r="AE17" s="1584"/>
      <c r="AF17" s="1584"/>
      <c r="AG17" s="378"/>
      <c r="AH17" s="411"/>
      <c r="AI17" s="378"/>
      <c r="AJ17" s="378"/>
      <c r="AK17" s="1476"/>
      <c r="AL17" s="1476"/>
    </row>
    <row r="18" spans="1:40" ht="18" customHeight="1">
      <c r="A18" s="1489"/>
      <c r="B18" s="1490"/>
      <c r="C18" s="1477"/>
      <c r="D18" s="1477"/>
      <c r="E18" s="1478"/>
      <c r="F18" s="1465" t="str">
        <f>'대기측정 분석결과서'!E13&amp;IF('대기측정 분석결과서'!L10="",""," ("&amp;'대기측정 분석결과서'!L10&amp;")")</f>
        <v/>
      </c>
      <c r="G18" s="1466"/>
      <c r="H18" s="1466"/>
      <c r="I18" s="1466"/>
      <c r="J18" s="1466"/>
      <c r="K18" s="1466"/>
      <c r="L18" s="1467"/>
      <c r="M18" s="1459" t="s">
        <v>158</v>
      </c>
      <c r="N18" s="1459"/>
      <c r="O18" s="1459"/>
      <c r="P18" s="1459"/>
      <c r="Q18" s="1460"/>
      <c r="R18" s="1458" t="s">
        <v>158</v>
      </c>
      <c r="S18" s="1459"/>
      <c r="T18" s="413" t="s">
        <v>194</v>
      </c>
      <c r="AA18" s="1584"/>
      <c r="AB18" s="1584"/>
      <c r="AC18" s="1584"/>
      <c r="AD18" s="1584"/>
      <c r="AE18" s="1584"/>
      <c r="AF18" s="1584"/>
      <c r="AG18" s="1589"/>
      <c r="AH18" s="1589"/>
      <c r="AI18" s="1589"/>
      <c r="AJ18" s="378"/>
      <c r="AK18" s="1584"/>
      <c r="AL18" s="1584"/>
    </row>
    <row r="19" spans="1:40" ht="18" customHeight="1">
      <c r="A19" s="1489"/>
      <c r="B19" s="1570" t="s">
        <v>463</v>
      </c>
      <c r="C19" s="1571"/>
      <c r="D19" s="1571"/>
      <c r="E19" s="1572"/>
      <c r="F19" s="1523" t="s">
        <v>736</v>
      </c>
      <c r="G19" s="1524"/>
      <c r="H19" s="1520">
        <f>'먼지측정 사전 Data'!N5</f>
        <v>0</v>
      </c>
      <c r="I19" s="1521"/>
      <c r="J19" s="1521"/>
      <c r="K19" s="1521"/>
      <c r="L19" s="1522"/>
      <c r="M19" s="1471" t="s">
        <v>1156</v>
      </c>
      <c r="N19" s="1472"/>
      <c r="O19" s="1472"/>
      <c r="P19" s="1475"/>
      <c r="Q19" s="1466" t="str">
        <f>'대기측정 분석결과서'!U7&amp;"                (서명)"</f>
        <v>0                (서명)</v>
      </c>
      <c r="R19" s="1466"/>
      <c r="S19" s="1466"/>
      <c r="T19" s="1530"/>
      <c r="AA19" s="1476"/>
      <c r="AB19" s="1476"/>
      <c r="AC19" s="1476"/>
      <c r="AD19" s="1476"/>
      <c r="AE19" s="1476"/>
      <c r="AF19" s="1476"/>
      <c r="AG19" s="1476"/>
      <c r="AH19" s="1476"/>
      <c r="AI19" s="378"/>
      <c r="AJ19" s="378"/>
      <c r="AK19" s="1476"/>
      <c r="AL19" s="1476"/>
    </row>
    <row r="20" spans="1:40" ht="18.95" customHeight="1">
      <c r="A20" s="1489"/>
      <c r="B20" s="1490"/>
      <c r="C20" s="1477"/>
      <c r="D20" s="1477"/>
      <c r="E20" s="1478"/>
      <c r="F20" s="1523" t="s">
        <v>1155</v>
      </c>
      <c r="G20" s="1524"/>
      <c r="H20" s="1458" t="str">
        <f>'먼지측정 사전 Data'!H6&amp;" : "&amp;IF('먼지측정 사전 Data'!I6&lt;10,"0"&amp;'먼지측정 사전 Data'!I6,'먼지측정 사전 Data'!I6)&amp;" ~ "&amp;'먼지측정 사전 Data'!K6&amp;" : "&amp;IF('먼지측정 사전 Data'!L6&lt;10,"0"&amp;'먼지측정 사전 Data'!L6,'먼지측정 사전 Data'!L6)</f>
        <v xml:space="preserve"> : 0 ~  : 0</v>
      </c>
      <c r="I20" s="1459"/>
      <c r="J20" s="1459"/>
      <c r="K20" s="1459"/>
      <c r="L20" s="1460"/>
      <c r="M20" s="1490"/>
      <c r="N20" s="1477"/>
      <c r="O20" s="1477"/>
      <c r="P20" s="1478"/>
      <c r="Q20" s="1466" t="str">
        <f>'대기측정 분석결과서'!X7&amp;"                (서명)"</f>
        <v>0                (서명)</v>
      </c>
      <c r="R20" s="1466"/>
      <c r="S20" s="1466"/>
      <c r="T20" s="1530"/>
      <c r="AA20" s="1476"/>
      <c r="AB20" s="1476"/>
      <c r="AC20" s="1476"/>
      <c r="AD20" s="1476"/>
      <c r="AE20" s="1476"/>
      <c r="AF20" s="1476"/>
      <c r="AG20" s="1476"/>
      <c r="AH20" s="1476"/>
      <c r="AI20" s="378"/>
      <c r="AJ20" s="378"/>
      <c r="AK20" s="1476"/>
      <c r="AL20" s="1476"/>
    </row>
    <row r="21" spans="1:40" ht="15.75" customHeight="1">
      <c r="A21" s="1508" t="s">
        <v>848</v>
      </c>
      <c r="B21" s="1471" t="s">
        <v>578</v>
      </c>
      <c r="C21" s="1472"/>
      <c r="D21" s="1472"/>
      <c r="E21" s="1475"/>
      <c r="F21" s="1458" t="s">
        <v>579</v>
      </c>
      <c r="G21" s="1459"/>
      <c r="H21" s="1459"/>
      <c r="I21" s="1459"/>
      <c r="J21" s="1459"/>
      <c r="K21" s="1459"/>
      <c r="L21" s="1459"/>
      <c r="M21" s="1459"/>
      <c r="N21" s="1459"/>
      <c r="O21" s="1459"/>
      <c r="P21" s="1459"/>
      <c r="Q21" s="1460"/>
      <c r="R21" s="1515" t="s">
        <v>580</v>
      </c>
      <c r="S21" s="1515"/>
      <c r="T21" s="1516"/>
    </row>
    <row r="22" spans="1:40" ht="15.75" customHeight="1">
      <c r="A22" s="1509"/>
      <c r="B22" s="1490"/>
      <c r="C22" s="1477"/>
      <c r="D22" s="1477"/>
      <c r="E22" s="1478"/>
      <c r="F22" s="1474" t="s">
        <v>581</v>
      </c>
      <c r="G22" s="1474"/>
      <c r="H22" s="1474" t="s">
        <v>582</v>
      </c>
      <c r="I22" s="1474"/>
      <c r="J22" s="1474" t="s">
        <v>583</v>
      </c>
      <c r="K22" s="1474"/>
      <c r="L22" s="1474" t="s">
        <v>584</v>
      </c>
      <c r="M22" s="1474"/>
      <c r="N22" s="1474" t="s">
        <v>585</v>
      </c>
      <c r="O22" s="1474"/>
      <c r="P22" s="1474" t="s">
        <v>586</v>
      </c>
      <c r="Q22" s="1474"/>
      <c r="R22" s="1517"/>
      <c r="S22" s="1517"/>
      <c r="T22" s="1518"/>
    </row>
    <row r="23" spans="1:40" ht="19.5" customHeight="1">
      <c r="A23" s="1510"/>
      <c r="B23" s="1465">
        <f>'대기측정 분석결과서'!E9</f>
        <v>0</v>
      </c>
      <c r="C23" s="1466"/>
      <c r="D23" s="1466"/>
      <c r="E23" s="1467"/>
      <c r="F23" s="1468" t="str">
        <f>'대기측정 분석결과서'!L11</f>
        <v>-</v>
      </c>
      <c r="G23" s="1468"/>
      <c r="H23" s="1473" t="s">
        <v>158</v>
      </c>
      <c r="I23" s="1473"/>
      <c r="J23" s="1473" t="s">
        <v>158</v>
      </c>
      <c r="K23" s="1473"/>
      <c r="L23" s="1535" t="s">
        <v>158</v>
      </c>
      <c r="M23" s="1473"/>
      <c r="N23" s="1473" t="str">
        <f>IF(F23="-","-","LNG")</f>
        <v>-</v>
      </c>
      <c r="O23" s="1473"/>
      <c r="P23" s="1474" t="str">
        <f>'대기측정 분석결과서'!N11</f>
        <v>Kg/Hr</v>
      </c>
      <c r="Q23" s="1474"/>
      <c r="R23" s="1465">
        <f>IF(F18=0,"",'대기측정 분석결과서'!E13)</f>
        <v>0</v>
      </c>
      <c r="S23" s="1466"/>
      <c r="T23" s="1530"/>
    </row>
    <row r="24" spans="1:40" ht="12" customHeight="1">
      <c r="A24" s="1567" t="s">
        <v>588</v>
      </c>
      <c r="B24" s="1460" t="s">
        <v>353</v>
      </c>
      <c r="C24" s="1473"/>
      <c r="D24" s="1473"/>
      <c r="E24" s="1473"/>
      <c r="F24" s="1473" t="s">
        <v>589</v>
      </c>
      <c r="G24" s="1473"/>
      <c r="H24" s="1473"/>
      <c r="I24" s="1473" t="s">
        <v>354</v>
      </c>
      <c r="J24" s="1473"/>
      <c r="K24" s="1473"/>
      <c r="L24" s="1491" t="s">
        <v>1150</v>
      </c>
      <c r="M24" s="1492"/>
      <c r="N24" s="1493"/>
      <c r="O24" s="1497" t="s">
        <v>504</v>
      </c>
      <c r="P24" s="1498"/>
      <c r="Q24" s="1498"/>
      <c r="R24" s="1499"/>
      <c r="S24" s="1531" t="s">
        <v>355</v>
      </c>
      <c r="T24" s="1516"/>
    </row>
    <row r="25" spans="1:40" ht="12" customHeight="1">
      <c r="A25" s="1568"/>
      <c r="B25" s="1460"/>
      <c r="C25" s="1473"/>
      <c r="D25" s="1473"/>
      <c r="E25" s="1473"/>
      <c r="F25" s="1473"/>
      <c r="G25" s="1473"/>
      <c r="H25" s="1473"/>
      <c r="I25" s="1473"/>
      <c r="J25" s="1473"/>
      <c r="K25" s="1473"/>
      <c r="L25" s="1494"/>
      <c r="M25" s="1495"/>
      <c r="N25" s="1496"/>
      <c r="O25" s="1497"/>
      <c r="P25" s="1498"/>
      <c r="Q25" s="1498"/>
      <c r="R25" s="1499"/>
      <c r="S25" s="1533"/>
      <c r="T25" s="1518"/>
    </row>
    <row r="26" spans="1:40" ht="21.95" customHeight="1">
      <c r="A26" s="1568"/>
      <c r="B26" s="1469"/>
      <c r="C26" s="1469"/>
      <c r="D26" s="1469"/>
      <c r="E26" s="1470"/>
      <c r="F26" s="1471" t="str">
        <f>IF(B26="","","??")</f>
        <v/>
      </c>
      <c r="G26" s="1472"/>
      <c r="H26" s="527" t="str">
        <f>IF(B26="","",INDEX('대기측정 분석결과서'!$AH$23:$AH$74,MATCH(B26,측정항목,0)))</f>
        <v/>
      </c>
      <c r="I26" s="1483" t="str">
        <f>IF(B26="","",
IF(INDEX('대기측정 분석결과서'!$F$23:$I$74,MATCH(B26,항목,0),1)="","값없음",
IF(ISERROR(FIXED(IF(INDEX('대기측정 분석결과서'!$F$23:$I$74,MATCH(B26,항목,0),1)&lt;INDEX('대기측정 분석결과서'!$AG$23:$AG$74,MATCH(B26,항목,0)),"불검출",
INDEX('대기측정 분석결과서'!$F$23:$I$74,MATCH(B26,항목,0),1)),INDEX('대기측정 분석결과서'!$AI$23:$AI$74,MATCH(B26,항목,0)))),"불검출",
FIXED(INDEX('대기측정 분석결과서'!$F$23:$I$74,MATCH(B26,항목,0),1),INDEX('대기측정 분석결과서'!$AI$23:$AI$74,MATCH(B26,항목,0))))))</f>
        <v/>
      </c>
      <c r="J26" s="1484"/>
      <c r="K26" s="1485"/>
      <c r="L26" s="1471" t="str">
        <f>IF(B26="","",
   IF(INDEX(Sheet1!$E$6:$F$51,MATCH(B26,Sheet1!$E$6:$E$51,0),2)="수은",
      '한종_시료채취기록지 '!$AG$20,
   IF(INDEX(Sheet1!$E$6:$F$51,MATCH(B26,Sheet1!$E$6:$E$51,0),2)="먼지",
      '한종_시료채취기록지 '!$Y$20,
   IF(INDEX(Sheet1!$E$6:$F$51,MATCH(B26,Sheet1!$E$6:$E$51,0),2)="THC",
      '한종_시료채취기록지 '!$AC$23,
   IF(INDEX(Sheet1!$E$6:$F$51,MATCH(B26,Sheet1!$E$6:$E$51,0),2)="매연",
      '한종_시료채취기록지 '!$AG$23,
   IF(INDEX(Sheet1!$E$6:$F$51,MATCH(B26,Sheet1!$E$6:$E$51,0),2)="옵티마",
      '한종_시료채취기록지 '!$Y$23,
   IF(INDEX(Sheet1!$E$6:$F$51,MATCH(B26,Sheet1!$E$6:$E$51,0),2)="중금속",
      '한종_시료채취기록지 '!$AC$20,
   IF(INDEX(Sheet1!$E$6:$F$51,MATCH(B26,Sheet1!$E$6:$E$51,0),2)="T",
    IFERROR(
         INDEX(가스상항목시간,MATCH("VOCs-T",가스상항목,0),5),
         INDEX(가스상항목시간,MATCH("VOCs-A",가스상항목,0),5)
      ),
   IF(INDEX(Sheet1!$E$6:$F$51,MATCH(B26,Sheet1!$E$6:$E$51,0),2)="A",
         INDEX(가스상항목시간,MATCH("VOCs-A",가스상항목,0),5),
   IF(INDEX(Sheet1!$E$6:$F$51,MATCH(B26,Sheet1!$E$6:$E$51,0),2)="DNPH",
      INDEX(가스상항목시간,MATCH("VOCs",가스상항목,0),5),
      INDEX(가스상항목시간,MATCH(B26,가스상항목,0),5)
   ))))))))))</f>
        <v/>
      </c>
      <c r="M26" s="1472"/>
      <c r="N26" s="1475"/>
      <c r="O26" s="1471" t="str">
        <f>IF(B26="","",INDEX('대기측정 분석결과서'!$Z$23:$Z$74,MATCH(B26,항목,0)))</f>
        <v/>
      </c>
      <c r="P26" s="1472"/>
      <c r="Q26" s="1472"/>
      <c r="R26" s="1475"/>
      <c r="S26" s="1486" t="str">
        <f>IF(B26="","",INDEX('대기측정 분석결과서'!$M$23:$M$74,MATCH(B26,항목,0)))</f>
        <v/>
      </c>
      <c r="T26" s="1487"/>
      <c r="V26" s="1590" t="s">
        <v>1223</v>
      </c>
      <c r="W26" s="1459"/>
      <c r="X26" s="1459"/>
      <c r="Y26" s="1459"/>
      <c r="Z26" s="1459"/>
      <c r="AA26" s="1459"/>
      <c r="AB26" s="1459"/>
      <c r="AC26" s="1459"/>
      <c r="AD26" s="1459"/>
      <c r="AE26" s="1459"/>
      <c r="AF26" s="1459"/>
      <c r="AG26" s="1459"/>
      <c r="AH26" s="1459"/>
      <c r="AI26" s="1459"/>
      <c r="AJ26" s="1459"/>
      <c r="AK26" s="1459"/>
      <c r="AL26" s="1459"/>
      <c r="AM26" s="1459"/>
      <c r="AN26" s="1519"/>
    </row>
    <row r="27" spans="1:40" ht="21.95" customHeight="1">
      <c r="A27" s="1568"/>
      <c r="B27" s="1469"/>
      <c r="C27" s="1469"/>
      <c r="D27" s="1469"/>
      <c r="E27" s="1470"/>
      <c r="F27" s="1471" t="str">
        <f t="shared" ref="F27:F33" si="0">IF(B27="","","??")</f>
        <v/>
      </c>
      <c r="G27" s="1472"/>
      <c r="H27" s="527" t="str">
        <f>IF(B27="","",INDEX('대기측정 분석결과서'!$AH$23:$AH$74,MATCH(B27,측정항목,0)))</f>
        <v/>
      </c>
      <c r="I27" s="1483" t="str">
        <f>IF(B27="","",
IF(INDEX('대기측정 분석결과서'!$F$23:$I$74,MATCH(B27,항목,0),1)="","값없음",
IF(ISERROR(FIXED(IF(INDEX('대기측정 분석결과서'!$F$23:$I$74,MATCH(B27,항목,0),1)&lt;INDEX('대기측정 분석결과서'!$AG$23:$AG$74,MATCH(B27,항목,0)),"불검출",
INDEX('대기측정 분석결과서'!$F$23:$I$74,MATCH(B27,항목,0),1)),INDEX('대기측정 분석결과서'!$AI$23:$AI$74,MATCH(B27,항목,0)))),"불검출",
FIXED(INDEX('대기측정 분석결과서'!$F$23:$I$74,MATCH(B27,항목,0),1),INDEX('대기측정 분석결과서'!$AI$23:$AI$74,MATCH(B27,항목,0))))))</f>
        <v/>
      </c>
      <c r="J27" s="1484"/>
      <c r="K27" s="1485"/>
      <c r="L27" s="1471" t="str">
        <f>IF(B27="","",
   IF(INDEX(Sheet1!$E$6:$F$51,MATCH(B27,Sheet1!$E$6:$E$51,0),2)="수은",
      '한종_시료채취기록지 '!$AG$20,
   IF(INDEX(Sheet1!$E$6:$F$51,MATCH(B27,Sheet1!$E$6:$E$51,0),2)="먼지",
      '한종_시료채취기록지 '!$Y$20,
   IF(INDEX(Sheet1!$E$6:$F$51,MATCH(B27,Sheet1!$E$6:$E$51,0),2)="THC",
      '한종_시료채취기록지 '!$AC$23,
   IF(INDEX(Sheet1!$E$6:$F$51,MATCH(B27,Sheet1!$E$6:$E$51,0),2)="매연",
      '한종_시료채취기록지 '!$AG$23,
   IF(INDEX(Sheet1!$E$6:$F$51,MATCH(B27,Sheet1!$E$6:$E$51,0),2)="옵티마",
      '한종_시료채취기록지 '!$Y$23,
   IF(INDEX(Sheet1!$E$6:$F$51,MATCH(B27,Sheet1!$E$6:$E$51,0),2)="중금속",
      '한종_시료채취기록지 '!$AC$20,
   IF(INDEX(Sheet1!$E$6:$F$51,MATCH(B27,Sheet1!$E$6:$E$51,0),2)="T",
    IFERROR(
         INDEX(가스상항목시간,MATCH("VOCs-T",가스상항목,0),5),
         INDEX(가스상항목시간,MATCH("VOCs-A",가스상항목,0),5)
      ),
   IF(INDEX(Sheet1!$E$6:$F$51,MATCH(B27,Sheet1!$E$6:$E$51,0),2)="A",
         INDEX(가스상항목시간,MATCH("VOCs-A",가스상항목,0),5),
   IF(INDEX(Sheet1!$E$6:$F$51,MATCH(B27,Sheet1!$E$6:$E$51,0),2)="DNPH",
      INDEX(가스상항목시간,MATCH("VOCs",가스상항목,0),5),
      INDEX(가스상항목시간,MATCH(B27,가스상항목,0),5)
   ))))))))))</f>
        <v/>
      </c>
      <c r="M27" s="1472"/>
      <c r="N27" s="1475"/>
      <c r="O27" s="1471" t="str">
        <f>IF(B27="","",INDEX('대기측정 분석결과서'!$Z$23:$Z$74,MATCH(B27,항목,0)))</f>
        <v/>
      </c>
      <c r="P27" s="1472"/>
      <c r="Q27" s="1472"/>
      <c r="R27" s="1475"/>
      <c r="S27" s="1486" t="str">
        <f>IF(B27="","",INDEX('대기측정 분석결과서'!$M$23:$M$74,MATCH(B27,항목,0)))</f>
        <v/>
      </c>
      <c r="T27" s="1487"/>
    </row>
    <row r="28" spans="1:40" ht="21.95" customHeight="1">
      <c r="A28" s="1568"/>
      <c r="B28" s="1469"/>
      <c r="C28" s="1469"/>
      <c r="D28" s="1469"/>
      <c r="E28" s="1470"/>
      <c r="F28" s="1471" t="str">
        <f t="shared" si="0"/>
        <v/>
      </c>
      <c r="G28" s="1472"/>
      <c r="H28" s="527" t="str">
        <f>IF(B28="","",INDEX('대기측정 분석결과서'!$AH$23:$AH$74,MATCH(B28,측정항목,0)))</f>
        <v/>
      </c>
      <c r="I28" s="1483" t="str">
        <f>IF(B28="","",
IF(INDEX('대기측정 분석결과서'!$F$23:$I$74,MATCH(B28,항목,0),1)="","값없음",
IF(ISERROR(FIXED(IF(INDEX('대기측정 분석결과서'!$F$23:$I$74,MATCH(B28,항목,0),1)&lt;INDEX('대기측정 분석결과서'!$AG$23:$AG$74,MATCH(B28,항목,0)),"불검출",
INDEX('대기측정 분석결과서'!$F$23:$I$74,MATCH(B28,항목,0),1)),INDEX('대기측정 분석결과서'!$AI$23:$AI$74,MATCH(B28,항목,0)))),"불검출",
FIXED(INDEX('대기측정 분석결과서'!$F$23:$I$74,MATCH(B28,항목,0),1),INDEX('대기측정 분석결과서'!$AI$23:$AI$74,MATCH(B28,항목,0))))))</f>
        <v/>
      </c>
      <c r="J28" s="1484"/>
      <c r="K28" s="1485"/>
      <c r="L28" s="1471" t="str">
        <f>IF(B28="","",
   IF(INDEX(Sheet1!$E$6:$F$51,MATCH(B28,Sheet1!$E$6:$E$51,0),2)="수은",
      '한종_시료채취기록지 '!$AG$20,
   IF(INDEX(Sheet1!$E$6:$F$51,MATCH(B28,Sheet1!$E$6:$E$51,0),2)="먼지",
      '한종_시료채취기록지 '!$Y$20,
   IF(INDEX(Sheet1!$E$6:$F$51,MATCH(B28,Sheet1!$E$6:$E$51,0),2)="THC",
      '한종_시료채취기록지 '!$AC$23,
   IF(INDEX(Sheet1!$E$6:$F$51,MATCH(B28,Sheet1!$E$6:$E$51,0),2)="매연",
      '한종_시료채취기록지 '!$AG$23,
   IF(INDEX(Sheet1!$E$6:$F$51,MATCH(B28,Sheet1!$E$6:$E$51,0),2)="옵티마",
      '한종_시료채취기록지 '!$Y$23,
   IF(INDEX(Sheet1!$E$6:$F$51,MATCH(B28,Sheet1!$E$6:$E$51,0),2)="중금속",
      '한종_시료채취기록지 '!$AC$20,
   IF(INDEX(Sheet1!$E$6:$F$51,MATCH(B28,Sheet1!$E$6:$E$51,0),2)="T",
    IFERROR(
         INDEX(가스상항목시간,MATCH("VOCs-T",가스상항목,0),5),
         INDEX(가스상항목시간,MATCH("VOCs-A",가스상항목,0),5)
      ),
   IF(INDEX(Sheet1!$E$6:$F$51,MATCH(B28,Sheet1!$E$6:$E$51,0),2)="A",
         INDEX(가스상항목시간,MATCH("VOCs-A",가스상항목,0),5),
   IF(INDEX(Sheet1!$E$6:$F$51,MATCH(B28,Sheet1!$E$6:$E$51,0),2)="DNPH",
      INDEX(가스상항목시간,MATCH("VOCs",가스상항목,0),5),
      INDEX(가스상항목시간,MATCH(B28,가스상항목,0),5)
   ))))))))))</f>
        <v/>
      </c>
      <c r="M28" s="1472"/>
      <c r="N28" s="1475"/>
      <c r="O28" s="1471" t="str">
        <f>IF(B28="","",INDEX('대기측정 분석결과서'!$Z$23:$Z$74,MATCH(B28,항목,0)))</f>
        <v/>
      </c>
      <c r="P28" s="1472"/>
      <c r="Q28" s="1472"/>
      <c r="R28" s="1475"/>
      <c r="S28" s="1486" t="str">
        <f>IF(B28="","",INDEX('대기측정 분석결과서'!$M$23:$M$74,MATCH(B28,항목,0)))</f>
        <v/>
      </c>
      <c r="T28" s="1487"/>
    </row>
    <row r="29" spans="1:40" ht="21.95" customHeight="1">
      <c r="A29" s="1568"/>
      <c r="B29" s="1469"/>
      <c r="C29" s="1469"/>
      <c r="D29" s="1469"/>
      <c r="E29" s="1470"/>
      <c r="F29" s="1471" t="str">
        <f t="shared" si="0"/>
        <v/>
      </c>
      <c r="G29" s="1472"/>
      <c r="H29" s="527" t="str">
        <f>IF(B29="","",INDEX('대기측정 분석결과서'!$AH$23:$AH$74,MATCH(B29,측정항목,0)))</f>
        <v/>
      </c>
      <c r="I29" s="1483" t="str">
        <f>IF(B29="","",
IF(INDEX('대기측정 분석결과서'!$F$23:$I$74,MATCH(B29,항목,0),1)="","값없음",
IF(ISERROR(FIXED(IF(INDEX('대기측정 분석결과서'!$F$23:$I$74,MATCH(B29,항목,0),1)&lt;INDEX('대기측정 분석결과서'!$AG$23:$AG$74,MATCH(B29,항목,0)),"불검출",
INDEX('대기측정 분석결과서'!$F$23:$I$74,MATCH(B29,항목,0),1)),INDEX('대기측정 분석결과서'!$AI$23:$AI$74,MATCH(B29,항목,0)))),"불검출",
FIXED(INDEX('대기측정 분석결과서'!$F$23:$I$74,MATCH(B29,항목,0),1),INDEX('대기측정 분석결과서'!$AI$23:$AI$74,MATCH(B29,항목,0))))))</f>
        <v/>
      </c>
      <c r="J29" s="1484"/>
      <c r="K29" s="1485"/>
      <c r="L29" s="1471" t="str">
        <f>IF(B29="","",
   IF(INDEX(Sheet1!$E$6:$F$51,MATCH(B29,Sheet1!$E$6:$E$51,0),2)="수은",
      '한종_시료채취기록지 '!$AG$20,
   IF(INDEX(Sheet1!$E$6:$F$51,MATCH(B29,Sheet1!$E$6:$E$51,0),2)="먼지",
      '한종_시료채취기록지 '!$Y$20,
   IF(INDEX(Sheet1!$E$6:$F$51,MATCH(B29,Sheet1!$E$6:$E$51,0),2)="THC",
      '한종_시료채취기록지 '!$AC$23,
   IF(INDEX(Sheet1!$E$6:$F$51,MATCH(B29,Sheet1!$E$6:$E$51,0),2)="매연",
      '한종_시료채취기록지 '!$AG$23,
   IF(INDEX(Sheet1!$E$6:$F$51,MATCH(B29,Sheet1!$E$6:$E$51,0),2)="옵티마",
      '한종_시료채취기록지 '!$Y$23,
   IF(INDEX(Sheet1!$E$6:$F$51,MATCH(B29,Sheet1!$E$6:$E$51,0),2)="중금속",
      '한종_시료채취기록지 '!$AC$20,
   IF(INDEX(Sheet1!$E$6:$F$51,MATCH(B29,Sheet1!$E$6:$E$51,0),2)="T",
    IFERROR(
         INDEX(가스상항목시간,MATCH("VOCs-T",가스상항목,0),5),
         INDEX(가스상항목시간,MATCH("VOCs-A",가스상항목,0),5)
      ),
   IF(INDEX(Sheet1!$E$6:$F$51,MATCH(B29,Sheet1!$E$6:$E$51,0),2)="A",
         INDEX(가스상항목시간,MATCH("VOCs-A",가스상항목,0),5),
   IF(INDEX(Sheet1!$E$6:$F$51,MATCH(B29,Sheet1!$E$6:$E$51,0),2)="DNPH",
      INDEX(가스상항목시간,MATCH("VOCs",가스상항목,0),5),
      INDEX(가스상항목시간,MATCH(B29,가스상항목,0),5)
   ))))))))))</f>
        <v/>
      </c>
      <c r="M29" s="1472"/>
      <c r="N29" s="1475"/>
      <c r="O29" s="1471" t="str">
        <f>IF(B29="","",INDEX('대기측정 분석결과서'!$Z$23:$Z$74,MATCH(B29,항목,0)))</f>
        <v/>
      </c>
      <c r="P29" s="1472"/>
      <c r="Q29" s="1472"/>
      <c r="R29" s="1475"/>
      <c r="S29" s="1486" t="str">
        <f>IF(B29="","",INDEX('대기측정 분석결과서'!$M$23:$M$74,MATCH(B29,항목,0)))</f>
        <v/>
      </c>
      <c r="T29" s="1487"/>
    </row>
    <row r="30" spans="1:40" ht="21.95" customHeight="1">
      <c r="A30" s="1568"/>
      <c r="B30" s="1469"/>
      <c r="C30" s="1469"/>
      <c r="D30" s="1469"/>
      <c r="E30" s="1470"/>
      <c r="F30" s="1471" t="str">
        <f t="shared" si="0"/>
        <v/>
      </c>
      <c r="G30" s="1472"/>
      <c r="H30" s="527" t="str">
        <f>IF(B30="","",INDEX('대기측정 분석결과서'!$AH$23:$AH$74,MATCH(B30,측정항목,0)))</f>
        <v/>
      </c>
      <c r="I30" s="1483" t="str">
        <f>IF(B30="","",
IF(INDEX('대기측정 분석결과서'!$F$23:$I$74,MATCH(B30,항목,0),1)="","값없음",
IF(ISERROR(FIXED(IF(INDEX('대기측정 분석결과서'!$F$23:$I$74,MATCH(B30,항목,0),1)&lt;INDEX('대기측정 분석결과서'!$AG$23:$AG$74,MATCH(B30,항목,0)),"불검출",
INDEX('대기측정 분석결과서'!$F$23:$I$74,MATCH(B30,항목,0),1)),INDEX('대기측정 분석결과서'!$AI$23:$AI$74,MATCH(B30,항목,0)))),"불검출",
FIXED(INDEX('대기측정 분석결과서'!$F$23:$I$74,MATCH(B30,항목,0),1),INDEX('대기측정 분석결과서'!$AI$23:$AI$74,MATCH(B30,항목,0))))))</f>
        <v/>
      </c>
      <c r="J30" s="1484"/>
      <c r="K30" s="1485"/>
      <c r="L30" s="1471" t="str">
        <f>IF(B30="","",
   IF(INDEX(Sheet1!$E$6:$F$51,MATCH(B30,Sheet1!$E$6:$E$51,0),2)="수은",
      '한종_시료채취기록지 '!$AG$20,
   IF(INDEX(Sheet1!$E$6:$F$51,MATCH(B30,Sheet1!$E$6:$E$51,0),2)="먼지",
      '한종_시료채취기록지 '!$Y$20,
   IF(INDEX(Sheet1!$E$6:$F$51,MATCH(B30,Sheet1!$E$6:$E$51,0),2)="THC",
      '한종_시료채취기록지 '!$AC$23,
   IF(INDEX(Sheet1!$E$6:$F$51,MATCH(B30,Sheet1!$E$6:$E$51,0),2)="매연",
      '한종_시료채취기록지 '!$AG$23,
   IF(INDEX(Sheet1!$E$6:$F$51,MATCH(B30,Sheet1!$E$6:$E$51,0),2)="옵티마",
      '한종_시료채취기록지 '!$Y$23,
   IF(INDEX(Sheet1!$E$6:$F$51,MATCH(B30,Sheet1!$E$6:$E$51,0),2)="중금속",
      '한종_시료채취기록지 '!$AC$20,
   IF(INDEX(Sheet1!$E$6:$F$51,MATCH(B30,Sheet1!$E$6:$E$51,0),2)="T",
    IFERROR(
         INDEX(가스상항목시간,MATCH("VOCs-T",가스상항목,0),5),
         INDEX(가스상항목시간,MATCH("VOCs-A",가스상항목,0),5)
      ),
   IF(INDEX(Sheet1!$E$6:$F$51,MATCH(B30,Sheet1!$E$6:$E$51,0),2)="A",
         INDEX(가스상항목시간,MATCH("VOCs-A",가스상항목,0),5),
   IF(INDEX(Sheet1!$E$6:$F$51,MATCH(B30,Sheet1!$E$6:$E$51,0),2)="DNPH",
      INDEX(가스상항목시간,MATCH("VOCs",가스상항목,0),5),
      INDEX(가스상항목시간,MATCH(B30,가스상항목,0),5)
   ))))))))))</f>
        <v/>
      </c>
      <c r="M30" s="1472"/>
      <c r="N30" s="1475"/>
      <c r="O30" s="1471" t="str">
        <f>IF(B30="","",INDEX('대기측정 분석결과서'!$Z$23:$Z$74,MATCH(B30,항목,0)))</f>
        <v/>
      </c>
      <c r="P30" s="1472"/>
      <c r="Q30" s="1472"/>
      <c r="R30" s="1475"/>
      <c r="S30" s="1486" t="str">
        <f>IF(B30="","",INDEX('대기측정 분석결과서'!$M$23:$M$74,MATCH(B30,항목,0)))</f>
        <v/>
      </c>
      <c r="T30" s="1487"/>
    </row>
    <row r="31" spans="1:40" ht="21.95" customHeight="1">
      <c r="A31" s="1568"/>
      <c r="B31" s="1469"/>
      <c r="C31" s="1469"/>
      <c r="D31" s="1469"/>
      <c r="E31" s="1470"/>
      <c r="F31" s="1471" t="str">
        <f t="shared" si="0"/>
        <v/>
      </c>
      <c r="G31" s="1472"/>
      <c r="H31" s="527" t="str">
        <f>IF(B31="","",INDEX('대기측정 분석결과서'!$AH$23:$AH$74,MATCH(B31,측정항목,0)))</f>
        <v/>
      </c>
      <c r="I31" s="148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84"/>
      <c r="K31" s="1485"/>
      <c r="L31" s="1471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72"/>
      <c r="N31" s="1475"/>
      <c r="O31" s="1471" t="str">
        <f>IF(B31="","",INDEX('대기측정 분석결과서'!$Z$23:$Z$74,MATCH(B31,항목,0)))</f>
        <v/>
      </c>
      <c r="P31" s="1472"/>
      <c r="Q31" s="1472"/>
      <c r="R31" s="1475"/>
      <c r="S31" s="1486" t="str">
        <f>IF(B31="","",INDEX('대기측정 분석결과서'!$M$23:$M$74,MATCH(B31,항목,0)))</f>
        <v/>
      </c>
      <c r="T31" s="1487"/>
    </row>
    <row r="32" spans="1:40" ht="21.95" customHeight="1">
      <c r="A32" s="1568"/>
      <c r="B32" s="1469"/>
      <c r="C32" s="1469"/>
      <c r="D32" s="1469"/>
      <c r="E32" s="1470"/>
      <c r="F32" s="1471" t="str">
        <f t="shared" si="0"/>
        <v/>
      </c>
      <c r="G32" s="1472"/>
      <c r="H32" s="527" t="str">
        <f>IF(B32="","",INDEX('대기측정 분석결과서'!$AH$23:$AH$74,MATCH(B32,측정항목,0)))</f>
        <v/>
      </c>
      <c r="I32" s="148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84"/>
      <c r="K32" s="1485"/>
      <c r="L32" s="147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72"/>
      <c r="N32" s="1475"/>
      <c r="O32" s="1471" t="str">
        <f>IF(B32="","",INDEX('대기측정 분석결과서'!$Z$23:$Z$74,MATCH(B32,항목,0)))</f>
        <v/>
      </c>
      <c r="P32" s="1472"/>
      <c r="Q32" s="1472"/>
      <c r="R32" s="1475"/>
      <c r="S32" s="1486" t="str">
        <f>IF(B32="","",INDEX('대기측정 분석결과서'!$M$23:$M$74,MATCH(B32,항목,0)))</f>
        <v/>
      </c>
      <c r="T32" s="1487"/>
      <c r="V32" s="397"/>
    </row>
    <row r="33" spans="1:29" ht="21.95" customHeight="1">
      <c r="A33" s="1568"/>
      <c r="B33" s="1469"/>
      <c r="C33" s="1469"/>
      <c r="D33" s="1469"/>
      <c r="E33" s="1470"/>
      <c r="F33" s="1471" t="str">
        <f t="shared" si="0"/>
        <v/>
      </c>
      <c r="G33" s="1472"/>
      <c r="H33" s="527" t="str">
        <f>IF(B33="","",INDEX('대기측정 분석결과서'!$AH$23:$AH$74,MATCH(B33,측정항목,0)))</f>
        <v/>
      </c>
      <c r="I33" s="148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84"/>
      <c r="K33" s="1485"/>
      <c r="L33" s="147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72"/>
      <c r="N33" s="1475"/>
      <c r="O33" s="1471" t="str">
        <f>IF(B33="","",INDEX('대기측정 분석결과서'!$Z$23:$Z$74,MATCH(B33,항목,0)))</f>
        <v/>
      </c>
      <c r="P33" s="1472"/>
      <c r="Q33" s="1472"/>
      <c r="R33" s="1475"/>
      <c r="S33" s="1486" t="str">
        <f>IF(B33="","",INDEX('대기측정 분석결과서'!$M$23:$M$74,MATCH(B33,항목,0)))</f>
        <v/>
      </c>
      <c r="T33" s="1487"/>
    </row>
    <row r="34" spans="1:29" ht="17.25" customHeight="1">
      <c r="A34" s="1568"/>
      <c r="B34" s="1472" t="s">
        <v>506</v>
      </c>
      <c r="C34" s="1472"/>
      <c r="D34" s="1472"/>
      <c r="E34" s="1475"/>
      <c r="F34" s="1479" t="str">
        <f>'먼지측정 사전 Data'!H5</f>
        <v>2026-02-06 ~ 1900-01-00</v>
      </c>
      <c r="G34" s="1480"/>
      <c r="H34" s="1480"/>
      <c r="I34" s="1480"/>
      <c r="J34" s="1480"/>
      <c r="K34" s="1480"/>
      <c r="L34" s="1480"/>
      <c r="M34" s="1458" t="s">
        <v>1151</v>
      </c>
      <c r="N34" s="1459"/>
      <c r="O34" s="1459"/>
      <c r="P34" s="1460"/>
      <c r="Q34" s="783" t="s">
        <v>1187</v>
      </c>
      <c r="R34" s="784"/>
      <c r="S34" s="784"/>
      <c r="T34" s="785"/>
      <c r="U34" s="397"/>
    </row>
    <row r="35" spans="1:29" ht="17.25" customHeight="1">
      <c r="A35" s="1569"/>
      <c r="B35" s="1477"/>
      <c r="C35" s="1477"/>
      <c r="D35" s="1477"/>
      <c r="E35" s="1478"/>
      <c r="F35" s="1481"/>
      <c r="G35" s="1482"/>
      <c r="H35" s="1482"/>
      <c r="I35" s="1482"/>
      <c r="J35" s="1482"/>
      <c r="K35" s="1482"/>
      <c r="L35" s="1482"/>
      <c r="M35" s="1458" t="s">
        <v>1152</v>
      </c>
      <c r="N35" s="1459"/>
      <c r="O35" s="1459"/>
      <c r="P35" s="1460"/>
      <c r="Q35" s="1458" t="s">
        <v>959</v>
      </c>
      <c r="R35" s="1459"/>
      <c r="S35" s="1459"/>
      <c r="T35" s="420" t="s">
        <v>500</v>
      </c>
      <c r="U35" s="378"/>
    </row>
    <row r="36" spans="1:29" ht="16.5" customHeight="1">
      <c r="A36" s="1461" t="s">
        <v>591</v>
      </c>
      <c r="B36" s="1462"/>
      <c r="C36" s="1462"/>
      <c r="D36" s="1462"/>
      <c r="E36" s="1463"/>
      <c r="F36" s="388"/>
      <c r="G36" s="389"/>
      <c r="H36" s="389" t="s">
        <v>1154</v>
      </c>
      <c r="I36" s="389"/>
      <c r="J36" s="389"/>
      <c r="K36" s="421"/>
      <c r="L36" s="1464" t="s">
        <v>1174</v>
      </c>
      <c r="M36" s="1464"/>
      <c r="N36" s="1464"/>
      <c r="O36" s="1464"/>
      <c r="P36" s="1464"/>
      <c r="Q36" s="775" t="s">
        <v>1139</v>
      </c>
      <c r="R36" s="422"/>
      <c r="S36" s="389"/>
      <c r="T36" s="391"/>
    </row>
    <row r="37" spans="1:29" ht="15" customHeight="1">
      <c r="A37" s="1456" t="s">
        <v>616</v>
      </c>
      <c r="B37" s="1457"/>
      <c r="C37" s="1457"/>
      <c r="D37" s="1457"/>
      <c r="E37" s="1457"/>
      <c r="F37" s="1457"/>
      <c r="G37" s="1457"/>
      <c r="H37" s="1457"/>
      <c r="I37" s="1457"/>
      <c r="J37" s="1457"/>
      <c r="K37" s="1457"/>
      <c r="L37" s="1457"/>
      <c r="M37" s="1457"/>
      <c r="N37" s="1457"/>
      <c r="O37" s="1457"/>
      <c r="P37" s="1457"/>
      <c r="Q37" s="1457"/>
      <c r="R37" s="378"/>
      <c r="S37" s="378"/>
      <c r="T37" s="400"/>
      <c r="X37" s="1585"/>
      <c r="Y37" s="1585"/>
      <c r="Z37" s="1585"/>
      <c r="AA37" s="1586"/>
      <c r="AB37" s="1585"/>
      <c r="AC37" s="1585"/>
    </row>
    <row r="38" spans="1:29" ht="15" customHeight="1">
      <c r="A38" s="397"/>
      <c r="B38" s="378"/>
      <c r="C38" s="378"/>
      <c r="D38" s="378"/>
      <c r="E38" s="378"/>
      <c r="F38" s="378"/>
      <c r="G38" s="378"/>
      <c r="H38" s="378"/>
      <c r="I38" s="378"/>
      <c r="J38" s="378"/>
      <c r="K38" s="1455">
        <f>YEAR('먼지측정 사전 Data'!R6)</f>
        <v>2026</v>
      </c>
      <c r="L38" s="1455"/>
      <c r="M38" s="423" t="s">
        <v>464</v>
      </c>
      <c r="N38" s="423"/>
      <c r="O38" s="399">
        <f>MONTH('먼지측정 사전 Data'!R6)</f>
        <v>2</v>
      </c>
      <c r="P38" s="423" t="s">
        <v>510</v>
      </c>
      <c r="Q38" s="423"/>
      <c r="R38" s="399">
        <f>DAY('먼지측정 사전 Data'!R6)</f>
        <v>13</v>
      </c>
      <c r="S38" s="423" t="s">
        <v>511</v>
      </c>
      <c r="T38" s="400"/>
      <c r="X38" s="1587" t="s">
        <v>779</v>
      </c>
      <c r="Y38" s="1587"/>
      <c r="Z38" s="1587"/>
      <c r="AA38" s="1588"/>
      <c r="AB38" s="1587"/>
      <c r="AC38" s="1587"/>
    </row>
    <row r="39" spans="1:29" ht="15" customHeight="1">
      <c r="A39" s="397"/>
      <c r="B39" s="395"/>
      <c r="C39" s="1476" t="s">
        <v>942</v>
      </c>
      <c r="D39" s="1476"/>
      <c r="E39" s="1476"/>
      <c r="F39" s="1476"/>
      <c r="H39" s="1536" t="s">
        <v>820</v>
      </c>
      <c r="I39" s="1536"/>
      <c r="J39" s="1536"/>
      <c r="K39" s="1536"/>
      <c r="L39" s="1536"/>
      <c r="M39" s="1536"/>
      <c r="N39" s="1536"/>
      <c r="O39" s="1536"/>
      <c r="P39" s="1536"/>
      <c r="Q39" s="1536"/>
      <c r="R39" s="1536"/>
      <c r="S39" s="378"/>
      <c r="T39" s="400"/>
    </row>
    <row r="40" spans="1:29" ht="15" customHeight="1">
      <c r="A40" s="397"/>
      <c r="B40" s="395"/>
      <c r="C40" s="1476" t="s">
        <v>943</v>
      </c>
      <c r="D40" s="1476"/>
      <c r="E40" s="1476"/>
      <c r="F40" s="1476"/>
      <c r="H40" s="1550" t="s">
        <v>1066</v>
      </c>
      <c r="I40" s="1550"/>
      <c r="J40" s="1550"/>
      <c r="K40" s="1550"/>
      <c r="L40" s="1550"/>
      <c r="M40" s="1550"/>
      <c r="N40" s="1550"/>
      <c r="O40" s="1550"/>
      <c r="P40" s="1550"/>
      <c r="Q40" s="1550"/>
      <c r="R40" s="1550"/>
      <c r="S40" s="378"/>
      <c r="T40" s="400"/>
    </row>
    <row r="41" spans="1:29" ht="15" customHeight="1">
      <c r="A41" s="397"/>
      <c r="B41" s="395"/>
      <c r="C41" s="1476" t="s">
        <v>944</v>
      </c>
      <c r="D41" s="1476"/>
      <c r="E41" s="1476"/>
      <c r="F41" s="1476"/>
      <c r="H41" s="1536" t="s">
        <v>835</v>
      </c>
      <c r="I41" s="1536"/>
      <c r="J41" s="1536"/>
      <c r="K41" s="1536"/>
      <c r="L41" s="1536"/>
      <c r="M41" s="1536"/>
      <c r="N41" s="1536"/>
      <c r="O41" s="1536"/>
      <c r="P41" s="1536"/>
      <c r="Q41" s="1536"/>
      <c r="R41" s="1536"/>
      <c r="S41" s="524" t="s">
        <v>1153</v>
      </c>
      <c r="T41" s="425"/>
    </row>
    <row r="42" spans="1:29" ht="13.5" customHeight="1">
      <c r="A42" s="537" t="s">
        <v>1064</v>
      </c>
      <c r="B42" s="423"/>
      <c r="C42" s="423"/>
      <c r="D42" s="423"/>
      <c r="E42" s="423"/>
      <c r="F42" s="395"/>
      <c r="G42" s="538"/>
      <c r="H42" s="538"/>
      <c r="I42" s="538"/>
      <c r="J42" s="538"/>
      <c r="K42" s="538"/>
      <c r="L42" s="538"/>
      <c r="M42" s="538"/>
      <c r="N42" s="538"/>
      <c r="O42" s="423"/>
      <c r="P42" s="423"/>
      <c r="Q42" s="423"/>
      <c r="R42" s="539"/>
      <c r="S42" s="539"/>
      <c r="T42" s="540"/>
    </row>
    <row r="43" spans="1:29" ht="14.25" customHeight="1">
      <c r="A43" s="1449" t="s">
        <v>1062</v>
      </c>
      <c r="B43" s="1450"/>
      <c r="C43" s="1450"/>
      <c r="D43" s="1450"/>
      <c r="E43" s="1450"/>
      <c r="F43" s="1450"/>
      <c r="G43" s="1450"/>
      <c r="H43" s="1450"/>
      <c r="I43" s="1450"/>
      <c r="J43" s="1450"/>
      <c r="K43" s="1450"/>
      <c r="L43" s="1450"/>
      <c r="M43" s="1450"/>
      <c r="N43" s="1450"/>
      <c r="O43" s="1450"/>
      <c r="P43" s="1450"/>
      <c r="Q43" s="1450"/>
      <c r="R43" s="1450"/>
      <c r="S43" s="1450"/>
      <c r="T43" s="1451"/>
    </row>
    <row r="44" spans="1:29" ht="14.25" customHeight="1" thickBot="1">
      <c r="A44" s="1452" t="s">
        <v>592</v>
      </c>
      <c r="B44" s="1453"/>
      <c r="C44" s="1453"/>
      <c r="D44" s="1453"/>
      <c r="E44" s="1453"/>
      <c r="F44" s="1453"/>
      <c r="G44" s="1453"/>
      <c r="H44" s="1453"/>
      <c r="I44" s="1453"/>
      <c r="J44" s="1453"/>
      <c r="K44" s="1453"/>
      <c r="L44" s="1453"/>
      <c r="M44" s="1453"/>
      <c r="N44" s="1453"/>
      <c r="O44" s="1453"/>
      <c r="P44" s="1453"/>
      <c r="Q44" s="1453"/>
      <c r="R44" s="1453"/>
      <c r="S44" s="1453"/>
      <c r="T44" s="1454"/>
    </row>
    <row r="45" spans="1:29" ht="21.75" customHeight="1">
      <c r="A45" s="54"/>
    </row>
  </sheetData>
  <mergeCells count="235">
    <mergeCell ref="X37:Z37"/>
    <mergeCell ref="AA37:AC37"/>
    <mergeCell ref="X38:Z38"/>
    <mergeCell ref="AA38:AC38"/>
    <mergeCell ref="AC18:AD18"/>
    <mergeCell ref="AE18:AF18"/>
    <mergeCell ref="AG18:AI18"/>
    <mergeCell ref="AK18:AL18"/>
    <mergeCell ref="AA19:AB20"/>
    <mergeCell ref="AC19:AD20"/>
    <mergeCell ref="AE19:AF20"/>
    <mergeCell ref="AG19:AH20"/>
    <mergeCell ref="AK19:AL20"/>
    <mergeCell ref="V26:AN26"/>
    <mergeCell ref="AA18:AB18"/>
    <mergeCell ref="AC15:AD16"/>
    <mergeCell ref="AE15:AF16"/>
    <mergeCell ref="AG15:AH16"/>
    <mergeCell ref="AI15:AJ16"/>
    <mergeCell ref="AK15:AL16"/>
    <mergeCell ref="AA17:AB17"/>
    <mergeCell ref="AC17:AD17"/>
    <mergeCell ref="AE17:AF17"/>
    <mergeCell ref="AK17:AL17"/>
    <mergeCell ref="AA15:AB16"/>
    <mergeCell ref="AC9:AD10"/>
    <mergeCell ref="AG9:AH10"/>
    <mergeCell ref="AI9:AJ10"/>
    <mergeCell ref="AE13:AF13"/>
    <mergeCell ref="AG13:AH13"/>
    <mergeCell ref="AI13:AJ13"/>
    <mergeCell ref="AK13:AL13"/>
    <mergeCell ref="AA14:AB14"/>
    <mergeCell ref="AC14:AD14"/>
    <mergeCell ref="AE14:AF14"/>
    <mergeCell ref="AG14:AH14"/>
    <mergeCell ref="AI14:AJ14"/>
    <mergeCell ref="AK14:AL14"/>
    <mergeCell ref="AC7:AD7"/>
    <mergeCell ref="AG7:AH7"/>
    <mergeCell ref="AI7:AJ7"/>
    <mergeCell ref="W8:X8"/>
    <mergeCell ref="Y8:Z8"/>
    <mergeCell ref="AA8:AB8"/>
    <mergeCell ref="AC8:AD8"/>
    <mergeCell ref="AG8:AH8"/>
    <mergeCell ref="AI8:AJ8"/>
    <mergeCell ref="W7:X7"/>
    <mergeCell ref="Y7:Z7"/>
    <mergeCell ref="AA7:AB7"/>
    <mergeCell ref="AC4:AD4"/>
    <mergeCell ref="AE4:AF4"/>
    <mergeCell ref="AG4:AH4"/>
    <mergeCell ref="AI4:AJ4"/>
    <mergeCell ref="W5:X6"/>
    <mergeCell ref="Y5:Z6"/>
    <mergeCell ref="AA5:AB6"/>
    <mergeCell ref="AC5:AD6"/>
    <mergeCell ref="AE5:AF6"/>
    <mergeCell ref="AG5:AH6"/>
    <mergeCell ref="AI5:AJ6"/>
    <mergeCell ref="W4:X4"/>
    <mergeCell ref="Y4:Z4"/>
    <mergeCell ref="AA4:AB4"/>
    <mergeCell ref="W9:X10"/>
    <mergeCell ref="Y9:Z10"/>
    <mergeCell ref="AA9:AB10"/>
    <mergeCell ref="A24:A35"/>
    <mergeCell ref="M35:P35"/>
    <mergeCell ref="Q35:S35"/>
    <mergeCell ref="O30:R30"/>
    <mergeCell ref="B19:E20"/>
    <mergeCell ref="B27:E27"/>
    <mergeCell ref="I29:K29"/>
    <mergeCell ref="L29:N29"/>
    <mergeCell ref="S29:T29"/>
    <mergeCell ref="O29:R29"/>
    <mergeCell ref="S33:T33"/>
    <mergeCell ref="S32:T32"/>
    <mergeCell ref="S28:T28"/>
    <mergeCell ref="N22:O22"/>
    <mergeCell ref="P22:Q22"/>
    <mergeCell ref="N23:O23"/>
    <mergeCell ref="H23:I23"/>
    <mergeCell ref="B32:E32"/>
    <mergeCell ref="J23:K23"/>
    <mergeCell ref="O31:R31"/>
    <mergeCell ref="S27:T27"/>
    <mergeCell ref="C41:F41"/>
    <mergeCell ref="S8:T8"/>
    <mergeCell ref="S11:T11"/>
    <mergeCell ref="P11:R11"/>
    <mergeCell ref="M11:O11"/>
    <mergeCell ref="J11:L11"/>
    <mergeCell ref="F8:L8"/>
    <mergeCell ref="F9:L9"/>
    <mergeCell ref="I16:L16"/>
    <mergeCell ref="F16:H16"/>
    <mergeCell ref="F12:G12"/>
    <mergeCell ref="H12:I12"/>
    <mergeCell ref="J12:L12"/>
    <mergeCell ref="M12:O12"/>
    <mergeCell ref="P12:R12"/>
    <mergeCell ref="S12:T12"/>
    <mergeCell ref="M15:Q15"/>
    <mergeCell ref="M8:N8"/>
    <mergeCell ref="O8:R8"/>
    <mergeCell ref="M16:Q16"/>
    <mergeCell ref="Q19:T19"/>
    <mergeCell ref="Q20:T20"/>
    <mergeCell ref="C40:F40"/>
    <mergeCell ref="H39:R39"/>
    <mergeCell ref="H41:R41"/>
    <mergeCell ref="F21:Q21"/>
    <mergeCell ref="B13:E16"/>
    <mergeCell ref="R13:T13"/>
    <mergeCell ref="I13:L13"/>
    <mergeCell ref="M13:Q13"/>
    <mergeCell ref="F14:H14"/>
    <mergeCell ref="I14:L14"/>
    <mergeCell ref="M14:Q14"/>
    <mergeCell ref="R14:T14"/>
    <mergeCell ref="F15:H15"/>
    <mergeCell ref="I15:L15"/>
    <mergeCell ref="R16:T16"/>
    <mergeCell ref="F13:H13"/>
    <mergeCell ref="I33:K33"/>
    <mergeCell ref="L33:N33"/>
    <mergeCell ref="M19:P20"/>
    <mergeCell ref="H40:R40"/>
    <mergeCell ref="S26:T26"/>
    <mergeCell ref="R23:T23"/>
    <mergeCell ref="F20:G20"/>
    <mergeCell ref="I28:K28"/>
    <mergeCell ref="L28:N28"/>
    <mergeCell ref="S24:T25"/>
    <mergeCell ref="F32:G32"/>
    <mergeCell ref="I32:K32"/>
    <mergeCell ref="F22:G22"/>
    <mergeCell ref="H22:I22"/>
    <mergeCell ref="O28:R28"/>
    <mergeCell ref="F30:G30"/>
    <mergeCell ref="L23:M23"/>
    <mergeCell ref="F27:G27"/>
    <mergeCell ref="O27:R27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B6:E6"/>
    <mergeCell ref="F6:K6"/>
    <mergeCell ref="M4:O4"/>
    <mergeCell ref="P4:T4"/>
    <mergeCell ref="B5:E5"/>
    <mergeCell ref="F5:K5"/>
    <mergeCell ref="M5:O6"/>
    <mergeCell ref="P5:T6"/>
    <mergeCell ref="A7:A10"/>
    <mergeCell ref="B7:E7"/>
    <mergeCell ref="F7:T7"/>
    <mergeCell ref="B8:E9"/>
    <mergeCell ref="S9:T9"/>
    <mergeCell ref="B10:E10"/>
    <mergeCell ref="F10:T10"/>
    <mergeCell ref="A21:A23"/>
    <mergeCell ref="B21:E22"/>
    <mergeCell ref="M9:N9"/>
    <mergeCell ref="O9:R9"/>
    <mergeCell ref="R15:T15"/>
    <mergeCell ref="R21:T22"/>
    <mergeCell ref="R17:T17"/>
    <mergeCell ref="M17:Q17"/>
    <mergeCell ref="F17:L17"/>
    <mergeCell ref="F18:L18"/>
    <mergeCell ref="M18:Q18"/>
    <mergeCell ref="H20:L20"/>
    <mergeCell ref="H19:L19"/>
    <mergeCell ref="F19:G19"/>
    <mergeCell ref="R18:S18"/>
    <mergeCell ref="J22:K22"/>
    <mergeCell ref="L22:M22"/>
    <mergeCell ref="A11:A20"/>
    <mergeCell ref="B11:E12"/>
    <mergeCell ref="F11:G11"/>
    <mergeCell ref="H11:I11"/>
    <mergeCell ref="B17:E18"/>
    <mergeCell ref="S31:T31"/>
    <mergeCell ref="B26:E26"/>
    <mergeCell ref="F26:G26"/>
    <mergeCell ref="L24:N25"/>
    <mergeCell ref="O24:R25"/>
    <mergeCell ref="B24:E25"/>
    <mergeCell ref="F24:H25"/>
    <mergeCell ref="B31:E31"/>
    <mergeCell ref="F31:G31"/>
    <mergeCell ref="L31:N31"/>
    <mergeCell ref="B29:E29"/>
    <mergeCell ref="I26:K26"/>
    <mergeCell ref="I27:K27"/>
    <mergeCell ref="L26:N26"/>
    <mergeCell ref="L27:N27"/>
    <mergeCell ref="B28:E28"/>
    <mergeCell ref="I30:K30"/>
    <mergeCell ref="L30:N30"/>
    <mergeCell ref="F28:G28"/>
    <mergeCell ref="A43:T43"/>
    <mergeCell ref="A44:T44"/>
    <mergeCell ref="K38:L38"/>
    <mergeCell ref="A37:Q37"/>
    <mergeCell ref="M34:P34"/>
    <mergeCell ref="A36:E36"/>
    <mergeCell ref="L36:P36"/>
    <mergeCell ref="B23:E23"/>
    <mergeCell ref="F23:G23"/>
    <mergeCell ref="B33:E33"/>
    <mergeCell ref="F33:G33"/>
    <mergeCell ref="I24:K25"/>
    <mergeCell ref="P23:Q23"/>
    <mergeCell ref="L32:N32"/>
    <mergeCell ref="O32:R32"/>
    <mergeCell ref="O33:R33"/>
    <mergeCell ref="C39:F39"/>
    <mergeCell ref="B34:E35"/>
    <mergeCell ref="F34:L35"/>
    <mergeCell ref="I31:K31"/>
    <mergeCell ref="S30:T30"/>
    <mergeCell ref="O26:R26"/>
    <mergeCell ref="B30:E30"/>
    <mergeCell ref="F29:G29"/>
  </mergeCells>
  <phoneticPr fontId="2" type="noConversion"/>
  <conditionalFormatting sqref="A13:B13 A14:A16 I14:I16">
    <cfRule type="cellIs" dxfId="69" priority="15" operator="equal">
      <formula>"값없음"</formula>
    </cfRule>
  </conditionalFormatting>
  <conditionalFormatting sqref="A1:T7 M8 O8 S8:S9 A8:F12 H11:H12 J11:J12 M11:M12 P11:P12 S11:S12 M16:M17 A17:F18 R17:T18 A19:B19 F19:F20 H19:H20 A20 A21:T24 B25:T25 H26:I33 L26:L33 S26:S33 B26:B34 F26:F34 A36:T38 A39:B41">
    <cfRule type="cellIs" dxfId="68" priority="19" operator="equal">
      <formula>"값없음"</formula>
    </cfRule>
  </conditionalFormatting>
  <conditionalFormatting sqref="A42:T45">
    <cfRule type="cellIs" dxfId="67" priority="16" operator="equal">
      <formula>"값없음"</formula>
    </cfRule>
  </conditionalFormatting>
  <conditionalFormatting sqref="C39:F41">
    <cfRule type="cellIs" dxfId="66" priority="12" operator="equal">
      <formula>"값없음"</formula>
    </cfRule>
  </conditionalFormatting>
  <conditionalFormatting sqref="F13:F16">
    <cfRule type="cellIs" dxfId="65" priority="11" operator="equal">
      <formula>"값없음"</formula>
    </cfRule>
  </conditionalFormatting>
  <conditionalFormatting sqref="H39:H41">
    <cfRule type="cellIs" dxfId="64" priority="5" operator="equal">
      <formula>"값없음"</formula>
    </cfRule>
  </conditionalFormatting>
  <conditionalFormatting sqref="M19">
    <cfRule type="cellIs" dxfId="63" priority="10" operator="equal">
      <formula>"값없음"</formula>
    </cfRule>
  </conditionalFormatting>
  <conditionalFormatting sqref="M34:P35">
    <cfRule type="cellIs" dxfId="62" priority="9" operator="equal">
      <formula>"값없음"</formula>
    </cfRule>
  </conditionalFormatting>
  <conditionalFormatting sqref="O26:O33">
    <cfRule type="cellIs" dxfId="61" priority="17" operator="equal">
      <formula>"값없음"</formula>
    </cfRule>
  </conditionalFormatting>
  <conditionalFormatting sqref="Q34:Q35">
    <cfRule type="cellIs" dxfId="60" priority="2" operator="equal">
      <formula>"값없음"</formula>
    </cfRule>
  </conditionalFormatting>
  <conditionalFormatting sqref="R13:R16">
    <cfRule type="cellIs" dxfId="59" priority="14" operator="equal">
      <formula>"값없음"</formula>
    </cfRule>
  </conditionalFormatting>
  <conditionalFormatting sqref="S39:T41">
    <cfRule type="cellIs" dxfId="58" priority="7" operator="equal">
      <formula>"값없음"</formula>
    </cfRule>
  </conditionalFormatting>
  <conditionalFormatting sqref="T34:U35">
    <cfRule type="cellIs" dxfId="57" priority="3" operator="equal">
      <formula>"값없음"</formula>
    </cfRule>
  </conditionalFormatting>
  <conditionalFormatting sqref="V26">
    <cfRule type="cellIs" dxfId="56" priority="1" operator="equal">
      <formula>"값없음"</formula>
    </cfRule>
  </conditionalFormatting>
  <conditionalFormatting sqref="V32">
    <cfRule type="cellIs" dxfId="55" priority="4" operator="equal">
      <formula>"값없음"</formula>
    </cfRule>
  </conditionalFormatting>
  <dataValidations disablePrompts="1" count="2">
    <dataValidation type="list" allowBlank="1" showInputMessage="1" showErrorMessage="1" sqref="L36:P36" xr:uid="{00000000-0002-0000-0800-000001000000}">
      <formula1>적합여부</formula1>
    </dataValidation>
    <dataValidation type="list" allowBlank="1" showInputMessage="1" showErrorMessage="1" sqref="B27:B33 B26:E26" xr:uid="{00000000-0002-0000-0800-000000000000}">
      <formula1>항목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2" orientation="portrait" r:id="rId1"/>
  <headerFooter scaleWithDoc="0">
    <oddHeader>&amp;C
&amp;G</oddHeader>
    <oddFooter>&amp;L&amp;"Malgun Gothic Semilight,보통"&amp;9fKET-A-QP-17-02-01(2)&amp;"굴림체,보통"                                                &amp;R&amp;"돋움,굵게"&amp;9&amp;G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1C00-A928-4BA3-BEDA-67E7E86598F4}">
  <sheetPr>
    <tabColor rgb="FF7030A0"/>
  </sheetPr>
  <dimension ref="A1:AO82"/>
  <sheetViews>
    <sheetView view="pageBreakPreview" zoomScaleNormal="100" zoomScaleSheetLayoutView="100" workbookViewId="0">
      <selection activeCell="Y19" sqref="Y19"/>
    </sheetView>
  </sheetViews>
  <sheetFormatPr defaultColWidth="9" defaultRowHeight="16.899999999999999"/>
  <cols>
    <col min="1" max="1" width="2.875" style="427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0" width="5.375" style="54" customWidth="1"/>
    <col min="11" max="11" width="5.5" style="54" customWidth="1"/>
    <col min="12" max="12" width="3" style="54" bestFit="1" customWidth="1"/>
    <col min="13" max="13" width="4.625" style="54" customWidth="1"/>
    <col min="14" max="14" width="5.5" style="54" customWidth="1"/>
    <col min="15" max="15" width="4.75" style="54" customWidth="1"/>
    <col min="16" max="16" width="1.75" style="54" customWidth="1"/>
    <col min="17" max="17" width="3.625" style="54" customWidth="1"/>
    <col min="18" max="18" width="5.5" style="54" customWidth="1"/>
    <col min="19" max="19" width="3.625" style="54" customWidth="1"/>
    <col min="20" max="20" width="12.5" style="54" customWidth="1"/>
    <col min="21" max="21" width="5.625" style="54" customWidth="1"/>
    <col min="22" max="27" width="4.5" style="54" customWidth="1"/>
    <col min="28" max="28" width="4.625" style="54" customWidth="1"/>
    <col min="29" max="33" width="4.5" style="54" customWidth="1"/>
    <col min="34" max="35" width="4.125" style="54" customWidth="1"/>
    <col min="36" max="16384" width="9" style="54"/>
  </cols>
  <sheetData>
    <row r="1" spans="1:41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pans="1:41" ht="40.5" customHeight="1" thickTop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</row>
    <row r="3" spans="1:41" ht="17.100000000000001" customHeight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</row>
    <row r="4" spans="1:41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1142</v>
      </c>
      <c r="N4" s="1466"/>
      <c r="O4" s="1467"/>
      <c r="P4" s="1465">
        <f>IF('대기측정 분석결과서'!E12="",B23,'대기측정 분석결과서'!E12)</f>
        <v>0</v>
      </c>
      <c r="Q4" s="1466"/>
      <c r="R4" s="1466"/>
      <c r="S4" s="1466"/>
      <c r="T4" s="1530"/>
      <c r="W4" s="554" t="s">
        <v>1079</v>
      </c>
      <c r="X4" s="554"/>
      <c r="Y4" s="554"/>
      <c r="Z4" s="554"/>
      <c r="AA4" s="554"/>
      <c r="AB4" s="554"/>
      <c r="AC4" s="554"/>
      <c r="AD4" s="554"/>
      <c r="AE4" s="554"/>
      <c r="AF4" s="554"/>
      <c r="AG4" s="554"/>
      <c r="AH4" s="554"/>
      <c r="AI4" s="554"/>
      <c r="AJ4" s="554"/>
      <c r="AK4" s="555"/>
      <c r="AL4" s="782"/>
    </row>
    <row r="5" spans="1:41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845</v>
      </c>
      <c r="N5" s="1515"/>
      <c r="O5" s="1532"/>
      <c r="P5" s="1531" t="str">
        <f>'대기측정 분석결과서'!E10&amp;" 종"</f>
        <v xml:space="preserve"> 종</v>
      </c>
      <c r="Q5" s="1515"/>
      <c r="R5" s="1515"/>
      <c r="S5" s="1515"/>
      <c r="T5" s="1516"/>
      <c r="W5" s="1573" t="s">
        <v>609</v>
      </c>
      <c r="X5" s="1573"/>
      <c r="Y5" s="1573" t="s">
        <v>631</v>
      </c>
      <c r="Z5" s="1573"/>
      <c r="AA5" s="1573" t="s">
        <v>632</v>
      </c>
      <c r="AB5" s="1573"/>
      <c r="AC5" s="1573" t="s">
        <v>740</v>
      </c>
      <c r="AD5" s="1573"/>
      <c r="AE5" s="1573" t="s">
        <v>883</v>
      </c>
      <c r="AF5" s="1573"/>
      <c r="AG5" s="1573" t="s">
        <v>1070</v>
      </c>
      <c r="AH5" s="1573"/>
      <c r="AI5" s="1573" t="s">
        <v>1141</v>
      </c>
      <c r="AJ5" s="1573"/>
      <c r="AK5" s="404" t="s">
        <v>634</v>
      </c>
      <c r="AL5" s="403" t="s">
        <v>633</v>
      </c>
      <c r="AM5" s="410" t="s">
        <v>1224</v>
      </c>
    </row>
    <row r="6" spans="1:41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W6" s="1566"/>
      <c r="X6" s="1566"/>
      <c r="Y6" s="1566"/>
      <c r="Z6" s="1566"/>
      <c r="AA6" s="1566"/>
      <c r="AB6" s="1566"/>
      <c r="AC6" s="1566"/>
      <c r="AD6" s="1566"/>
      <c r="AE6" s="1566"/>
      <c r="AF6" s="1566"/>
      <c r="AG6" s="1566"/>
      <c r="AH6" s="1566"/>
      <c r="AI6" s="1566"/>
      <c r="AJ6" s="1566"/>
      <c r="AK6" s="405"/>
      <c r="AL6" s="405"/>
      <c r="AM6" s="405"/>
    </row>
    <row r="7" spans="1:41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W7" s="1566"/>
      <c r="X7" s="1566"/>
      <c r="Y7" s="1566"/>
      <c r="Z7" s="1566"/>
      <c r="AA7" s="1566"/>
      <c r="AB7" s="1566"/>
      <c r="AC7" s="1566"/>
      <c r="AD7" s="1566"/>
      <c r="AE7" s="1566"/>
      <c r="AF7" s="1566"/>
      <c r="AG7" s="1574"/>
      <c r="AH7" s="1574"/>
      <c r="AI7" s="1566"/>
      <c r="AJ7" s="1566"/>
      <c r="AK7" s="406"/>
      <c r="AL7" s="406"/>
      <c r="AM7" s="406"/>
    </row>
    <row r="8" spans="1:41" ht="17.100000000000001" customHeight="1" thickTop="1" thickBot="1">
      <c r="A8" s="1489"/>
      <c r="B8" s="1491" t="s">
        <v>1166</v>
      </c>
      <c r="C8" s="1472"/>
      <c r="D8" s="1472"/>
      <c r="E8" s="1475"/>
      <c r="F8" s="1458" t="s">
        <v>1143</v>
      </c>
      <c r="G8" s="1459"/>
      <c r="H8" s="1459"/>
      <c r="I8" s="1459"/>
      <c r="J8" s="1459"/>
      <c r="K8" s="1459"/>
      <c r="L8" s="1460"/>
      <c r="M8" s="1511" t="s">
        <v>1165</v>
      </c>
      <c r="N8" s="1511"/>
      <c r="O8" s="1511" t="s">
        <v>1164</v>
      </c>
      <c r="P8" s="1511"/>
      <c r="Q8" s="1511"/>
      <c r="R8" s="1511"/>
      <c r="S8" s="1551" t="s">
        <v>1163</v>
      </c>
      <c r="T8" s="1504"/>
      <c r="W8" s="1573" t="s">
        <v>608</v>
      </c>
      <c r="X8" s="1573"/>
      <c r="Y8" s="1573" t="s">
        <v>1078</v>
      </c>
      <c r="Z8" s="1573"/>
      <c r="AA8" s="1573"/>
      <c r="AB8" s="1573"/>
      <c r="AC8" s="1573" t="s">
        <v>733</v>
      </c>
      <c r="AD8" s="1573"/>
      <c r="AE8" s="378"/>
      <c r="AF8" s="378"/>
      <c r="AG8" s="1575"/>
      <c r="AH8" s="1576"/>
      <c r="AI8" s="1575"/>
      <c r="AJ8" s="1576"/>
      <c r="AK8" s="407"/>
      <c r="AL8" s="408"/>
    </row>
    <row r="9" spans="1:41" ht="17.100000000000001" customHeight="1" thickTop="1" thickBot="1">
      <c r="A9" s="1489"/>
      <c r="B9" s="1490"/>
      <c r="C9" s="1477"/>
      <c r="D9" s="1477"/>
      <c r="E9" s="1478"/>
      <c r="F9" s="1458" t="str">
        <f>'대기측정 분석결과서'!E9&amp;" "&amp;"(KGAR-"&amp;RIGHT(YEAR('먼지측정 사전 Data'!N6),2)&amp;"-"&amp;'먼지측정 사전 Data'!O4&amp;")"</f>
        <v xml:space="preserve"> (KGAR-26-)</v>
      </c>
      <c r="G9" s="1459"/>
      <c r="H9" s="1459"/>
      <c r="I9" s="1459"/>
      <c r="J9" s="1459"/>
      <c r="K9" s="1459"/>
      <c r="L9" s="1459"/>
      <c r="M9" s="1511" t="str">
        <f>'한종_시료채취기록지 '!N3&amp;" m"</f>
        <v>0 m</v>
      </c>
      <c r="N9" s="1511"/>
      <c r="O9" s="151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511"/>
      <c r="Q9" s="1511"/>
      <c r="R9" s="1511"/>
      <c r="S9" s="1503" t="str">
        <f>'대기측정 분석결과서'!E11&amp;" 종"</f>
        <v xml:space="preserve"> 종</v>
      </c>
      <c r="T9" s="1504"/>
      <c r="W9" s="1573" t="s">
        <v>823</v>
      </c>
      <c r="X9" s="1573"/>
      <c r="Y9" s="1573" t="s">
        <v>1068</v>
      </c>
      <c r="Z9" s="1573"/>
      <c r="AA9" s="1573"/>
      <c r="AB9" s="1573"/>
      <c r="AC9" s="1573" t="s">
        <v>1068</v>
      </c>
      <c r="AD9" s="1573"/>
      <c r="AE9" s="378"/>
      <c r="AF9" s="378"/>
      <c r="AG9" s="1577" t="s">
        <v>1073</v>
      </c>
      <c r="AH9" s="1578"/>
      <c r="AI9" s="1577" t="s">
        <v>822</v>
      </c>
      <c r="AJ9" s="1578"/>
      <c r="AK9" s="410" t="s">
        <v>1074</v>
      </c>
      <c r="AL9" s="411"/>
    </row>
    <row r="10" spans="1:41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W10" s="1566"/>
      <c r="X10" s="1566"/>
      <c r="Y10" s="1566"/>
      <c r="Z10" s="1566"/>
      <c r="AA10" s="1566"/>
      <c r="AB10" s="1566"/>
      <c r="AC10" s="1566"/>
      <c r="AD10" s="1566"/>
      <c r="AE10" s="378"/>
      <c r="AF10" s="378"/>
      <c r="AG10" s="1579"/>
      <c r="AH10" s="1580"/>
      <c r="AI10" s="1579"/>
      <c r="AJ10" s="1580"/>
      <c r="AK10" s="405"/>
      <c r="AL10" s="378"/>
    </row>
    <row r="11" spans="1:41" ht="18.600000000000001" customHeight="1" thickTop="1" thickBot="1">
      <c r="A11" s="1488" t="s">
        <v>348</v>
      </c>
      <c r="B11" s="1473" t="s">
        <v>349</v>
      </c>
      <c r="C11" s="1473"/>
      <c r="D11" s="1473"/>
      <c r="E11" s="1473"/>
      <c r="F11" s="1458" t="s">
        <v>1144</v>
      </c>
      <c r="G11" s="1460"/>
      <c r="H11" s="1458" t="s">
        <v>1162</v>
      </c>
      <c r="I11" s="1460"/>
      <c r="J11" s="1458" t="s">
        <v>1161</v>
      </c>
      <c r="K11" s="1459"/>
      <c r="L11" s="1460"/>
      <c r="M11" s="1458" t="s">
        <v>1160</v>
      </c>
      <c r="N11" s="1459"/>
      <c r="O11" s="1460"/>
      <c r="P11" s="1458" t="s">
        <v>1159</v>
      </c>
      <c r="Q11" s="1459"/>
      <c r="R11" s="1460"/>
      <c r="S11" s="1459" t="s">
        <v>1233</v>
      </c>
      <c r="T11" s="1519"/>
      <c r="W11" s="1566"/>
      <c r="X11" s="1566"/>
      <c r="Y11" s="1566"/>
      <c r="Z11" s="1566"/>
      <c r="AA11" s="1566"/>
      <c r="AB11" s="1566"/>
      <c r="AC11" s="1566"/>
      <c r="AD11" s="1566"/>
      <c r="AE11" s="378"/>
      <c r="AF11" s="378"/>
      <c r="AG11" s="1581"/>
      <c r="AH11" s="1582"/>
      <c r="AI11" s="1581"/>
      <c r="AJ11" s="1582"/>
      <c r="AK11" s="406"/>
      <c r="AL11" s="378"/>
    </row>
    <row r="12" spans="1:41" ht="18.600000000000001" customHeight="1" thickTop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1557">
        <f>'대기측정 분석결과서'!I17</f>
        <v>0</v>
      </c>
      <c r="I12" s="1558"/>
      <c r="J12" s="1559">
        <f>'대기측정 분석결과서'!M17</f>
        <v>0</v>
      </c>
      <c r="K12" s="1560"/>
      <c r="L12" s="1561"/>
      <c r="M12" s="1559">
        <f>'대기측정 분석결과서'!Q17</f>
        <v>0</v>
      </c>
      <c r="N12" s="1560"/>
      <c r="O12" s="1561"/>
      <c r="P12" s="1559">
        <f>'대기측정 분석결과서'!V17</f>
        <v>0</v>
      </c>
      <c r="Q12" s="1560"/>
      <c r="R12" s="1561"/>
      <c r="S12" s="1560">
        <f>'대기측정 분석결과서'!AA17</f>
        <v>0</v>
      </c>
      <c r="T12" s="1562"/>
      <c r="W12" s="54" t="s">
        <v>1188</v>
      </c>
    </row>
    <row r="13" spans="1:41" customFormat="1" ht="18.600000000000001" customHeight="1">
      <c r="A13" s="1489"/>
      <c r="B13" s="1537" t="s">
        <v>461</v>
      </c>
      <c r="C13" s="1538"/>
      <c r="D13" s="1538"/>
      <c r="E13" s="1539"/>
      <c r="F13" s="1512" t="s">
        <v>952</v>
      </c>
      <c r="G13" s="1513"/>
      <c r="H13" s="1546"/>
      <c r="I13" s="1512" t="s">
        <v>1158</v>
      </c>
      <c r="J13" s="1513"/>
      <c r="K13" s="1513"/>
      <c r="L13" s="1546"/>
      <c r="M13" s="1512" t="s">
        <v>1145</v>
      </c>
      <c r="N13" s="1513"/>
      <c r="O13" s="1513"/>
      <c r="P13" s="1513"/>
      <c r="Q13" s="1546"/>
      <c r="R13" s="1513" t="s">
        <v>1146</v>
      </c>
      <c r="S13" s="1513"/>
      <c r="T13" s="1514"/>
      <c r="V13" s="54"/>
      <c r="W13" s="54"/>
      <c r="X13" s="54"/>
      <c r="Y13" s="54"/>
      <c r="Z13" s="54"/>
      <c r="AA13" s="54"/>
      <c r="AB13" s="54"/>
      <c r="AC13" s="54"/>
      <c r="AD13" s="54"/>
      <c r="AF13" s="54"/>
      <c r="AG13" s="54"/>
      <c r="AH13" s="54"/>
      <c r="AI13" s="54"/>
      <c r="AJ13" s="54"/>
      <c r="AK13" s="54"/>
      <c r="AL13" s="417"/>
      <c r="AM13" s="54"/>
      <c r="AN13" s="54"/>
      <c r="AO13" s="54"/>
    </row>
    <row r="14" spans="1:41" customFormat="1" ht="18.600000000000001" customHeight="1">
      <c r="A14" s="1489"/>
      <c r="B14" s="1540"/>
      <c r="C14" s="1541"/>
      <c r="D14" s="1541"/>
      <c r="E14" s="1542"/>
      <c r="F14" s="1512" t="str">
        <f>IF('먼지측정 사전 Data'!R13=20.9,"-",'먼지측정 사전 Data'!R13&amp;" %")</f>
        <v>-</v>
      </c>
      <c r="G14" s="1513"/>
      <c r="H14" s="1546"/>
      <c r="I14" s="1512" t="str">
        <f>'먼지측정 사전 Data'!H14&amp;" %"</f>
        <v>0 %</v>
      </c>
      <c r="J14" s="1513"/>
      <c r="K14" s="1513"/>
      <c r="L14" s="1546"/>
      <c r="M14" s="1512" t="e">
        <f>'시험일지(계산일지-2)'!R11&amp;" S㎥/분"</f>
        <v>#DIV/0!</v>
      </c>
      <c r="N14" s="1513"/>
      <c r="O14" s="1513"/>
      <c r="P14" s="1513"/>
      <c r="Q14" s="1546"/>
      <c r="R14" s="1513" t="e">
        <f>'시험일지(계산일지-2)'!Q21&amp;" S㎥/분"</f>
        <v>#DIV/0!</v>
      </c>
      <c r="S14" s="1513"/>
      <c r="T14" s="1514"/>
      <c r="AA14" s="553"/>
      <c r="AB14" s="553"/>
      <c r="AC14" s="553"/>
      <c r="AD14" s="553"/>
      <c r="AE14" s="1583"/>
      <c r="AF14" s="1583"/>
      <c r="AG14" s="1583"/>
      <c r="AH14" s="1583"/>
      <c r="AI14" s="1583"/>
      <c r="AJ14" s="1583"/>
      <c r="AK14" s="1583"/>
      <c r="AL14" s="1583"/>
    </row>
    <row r="15" spans="1:41" customFormat="1" ht="18.600000000000001" customHeight="1">
      <c r="A15" s="1489"/>
      <c r="B15" s="1540"/>
      <c r="C15" s="1541"/>
      <c r="D15" s="1541"/>
      <c r="E15" s="1542"/>
      <c r="F15" s="1512" t="s">
        <v>5</v>
      </c>
      <c r="G15" s="1513"/>
      <c r="H15" s="1546"/>
      <c r="I15" s="1512" t="s">
        <v>732</v>
      </c>
      <c r="J15" s="1513"/>
      <c r="K15" s="1513"/>
      <c r="L15" s="1546"/>
      <c r="M15" s="1512" t="s">
        <v>1147</v>
      </c>
      <c r="N15" s="1513"/>
      <c r="O15" s="1513"/>
      <c r="P15" s="1513"/>
      <c r="Q15" s="1546"/>
      <c r="R15" s="1512" t="s">
        <v>1148</v>
      </c>
      <c r="S15" s="1513"/>
      <c r="T15" s="1514"/>
      <c r="W15" s="48"/>
      <c r="AA15" s="1583"/>
      <c r="AB15" s="1583"/>
      <c r="AC15" s="1583"/>
      <c r="AD15" s="1583"/>
      <c r="AE15" s="1583"/>
      <c r="AF15" s="1583"/>
      <c r="AG15" s="1583"/>
      <c r="AH15" s="1583"/>
      <c r="AI15" s="1583"/>
      <c r="AJ15" s="1583"/>
      <c r="AK15" s="1583"/>
      <c r="AL15" s="1583"/>
    </row>
    <row r="16" spans="1:41" ht="18.600000000000001" customHeight="1">
      <c r="A16" s="1489"/>
      <c r="B16" s="1543"/>
      <c r="C16" s="1544"/>
      <c r="D16" s="1544"/>
      <c r="E16" s="1545"/>
      <c r="F16" s="1512" t="e">
        <f>'먼지측정 사전 Data'!H59&amp;" %"</f>
        <v>#DIV/0!</v>
      </c>
      <c r="G16" s="1513"/>
      <c r="H16" s="1546"/>
      <c r="I16" s="1458" t="e">
        <f>'먼지측정 사전 Data'!R69&amp;" ℃"</f>
        <v>#DIV/0!</v>
      </c>
      <c r="J16" s="1459"/>
      <c r="K16" s="1459"/>
      <c r="L16" s="1460"/>
      <c r="M16" s="1563" t="e">
        <f>'먼지측정 사전 Data'!R82&amp;" m/s"</f>
        <v>#DIV/0!</v>
      </c>
      <c r="N16" s="1564"/>
      <c r="O16" s="1564"/>
      <c r="P16" s="1564"/>
      <c r="Q16" s="1565"/>
      <c r="R16" s="1547" t="s">
        <v>158</v>
      </c>
      <c r="S16" s="1548"/>
      <c r="T16" s="1549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  <c r="AL16" s="1476"/>
    </row>
    <row r="17" spans="1:41" ht="18" customHeight="1">
      <c r="A17" s="1489"/>
      <c r="B17" s="1471" t="s">
        <v>1157</v>
      </c>
      <c r="C17" s="1472"/>
      <c r="D17" s="1472"/>
      <c r="E17" s="1475"/>
      <c r="F17" s="1458" t="s">
        <v>575</v>
      </c>
      <c r="G17" s="1459"/>
      <c r="H17" s="1459"/>
      <c r="I17" s="1459"/>
      <c r="J17" s="1459"/>
      <c r="K17" s="1459"/>
      <c r="L17" s="1460"/>
      <c r="M17" s="1459" t="s">
        <v>1149</v>
      </c>
      <c r="N17" s="1459"/>
      <c r="O17" s="1459"/>
      <c r="P17" s="1459"/>
      <c r="Q17" s="1460"/>
      <c r="R17" s="1458" t="s">
        <v>577</v>
      </c>
      <c r="S17" s="1459"/>
      <c r="T17" s="1519"/>
      <c r="AA17" s="1476"/>
      <c r="AB17" s="1476"/>
      <c r="AC17" s="1476"/>
      <c r="AD17" s="1476"/>
      <c r="AE17" s="1476"/>
      <c r="AF17" s="1476"/>
      <c r="AG17" s="1476"/>
      <c r="AH17" s="1476"/>
      <c r="AI17" s="1476"/>
      <c r="AJ17" s="1476"/>
      <c r="AK17" s="1476"/>
      <c r="AL17" s="1476"/>
    </row>
    <row r="18" spans="1:41" ht="18" customHeight="1">
      <c r="A18" s="1489"/>
      <c r="B18" s="1490"/>
      <c r="C18" s="1477"/>
      <c r="D18" s="1477"/>
      <c r="E18" s="1478"/>
      <c r="F18" s="1465" t="str">
        <f>'대기측정 분석결과서'!E13&amp;IF('대기측정 분석결과서'!L10="",""," ("&amp;'대기측정 분석결과서'!L10&amp;")")</f>
        <v/>
      </c>
      <c r="G18" s="1466"/>
      <c r="H18" s="1466"/>
      <c r="I18" s="1466"/>
      <c r="J18" s="1466"/>
      <c r="K18" s="1466"/>
      <c r="L18" s="1467"/>
      <c r="M18" s="1459" t="s">
        <v>158</v>
      </c>
      <c r="N18" s="1459"/>
      <c r="O18" s="1459"/>
      <c r="P18" s="1459"/>
      <c r="Q18" s="1460"/>
      <c r="R18" s="1458" t="s">
        <v>158</v>
      </c>
      <c r="S18" s="1459"/>
      <c r="T18" s="413" t="s">
        <v>194</v>
      </c>
      <c r="AA18" s="1584"/>
      <c r="AB18" s="1584"/>
      <c r="AC18" s="1584"/>
      <c r="AD18" s="1584"/>
      <c r="AE18" s="1584"/>
      <c r="AF18" s="1584"/>
      <c r="AG18" s="378"/>
      <c r="AH18" s="411"/>
      <c r="AI18" s="378"/>
      <c r="AJ18" s="378"/>
      <c r="AK18" s="1476"/>
      <c r="AL18" s="1476"/>
    </row>
    <row r="19" spans="1:41" ht="18" customHeight="1">
      <c r="A19" s="1489"/>
      <c r="B19" s="1570" t="s">
        <v>463</v>
      </c>
      <c r="C19" s="1571"/>
      <c r="D19" s="1571"/>
      <c r="E19" s="1572"/>
      <c r="F19" s="1523" t="s">
        <v>736</v>
      </c>
      <c r="G19" s="1524"/>
      <c r="H19" s="1520">
        <f>'먼지측정 사전 Data'!N5</f>
        <v>0</v>
      </c>
      <c r="I19" s="1521"/>
      <c r="J19" s="1521"/>
      <c r="K19" s="1521"/>
      <c r="L19" s="1522"/>
      <c r="M19" s="1471" t="s">
        <v>1156</v>
      </c>
      <c r="N19" s="1472"/>
      <c r="O19" s="1472"/>
      <c r="P19" s="1475"/>
      <c r="Q19" s="1466" t="str">
        <f>'대기측정 분석결과서'!U7&amp;"                (서명)"</f>
        <v>0                (서명)</v>
      </c>
      <c r="R19" s="1466"/>
      <c r="S19" s="1466"/>
      <c r="T19" s="1530"/>
      <c r="AA19" s="1584"/>
      <c r="AB19" s="1584"/>
      <c r="AC19" s="1584"/>
      <c r="AD19" s="1584"/>
      <c r="AE19" s="1584"/>
      <c r="AF19" s="1584"/>
      <c r="AG19" s="1589"/>
      <c r="AH19" s="1589"/>
      <c r="AI19" s="1589"/>
      <c r="AJ19" s="378"/>
      <c r="AK19" s="1584"/>
      <c r="AL19" s="1584"/>
    </row>
    <row r="20" spans="1:41" ht="18.95" customHeight="1">
      <c r="A20" s="1489"/>
      <c r="B20" s="1490"/>
      <c r="C20" s="1477"/>
      <c r="D20" s="1477"/>
      <c r="E20" s="1478"/>
      <c r="F20" s="1523" t="s">
        <v>1155</v>
      </c>
      <c r="G20" s="1524"/>
      <c r="H20" s="1458" t="str">
        <f>'먼지측정 사전 Data'!H6&amp;" : "&amp;IF('먼지측정 사전 Data'!I6&lt;10,"0"&amp;'먼지측정 사전 Data'!I6,'먼지측정 사전 Data'!I6)&amp;" ~ "&amp;'먼지측정 사전 Data'!K6&amp;" : "&amp;IF('먼지측정 사전 Data'!L6&lt;10,"0"&amp;'먼지측정 사전 Data'!L6,'먼지측정 사전 Data'!L6)</f>
        <v xml:space="preserve"> : 0 ~  : 0</v>
      </c>
      <c r="I20" s="1459"/>
      <c r="J20" s="1459"/>
      <c r="K20" s="1459"/>
      <c r="L20" s="1460"/>
      <c r="M20" s="1490"/>
      <c r="N20" s="1477"/>
      <c r="O20" s="1477"/>
      <c r="P20" s="1478"/>
      <c r="Q20" s="1466" t="str">
        <f>'대기측정 분석결과서'!X7&amp;"                (서명)"</f>
        <v>0                (서명)</v>
      </c>
      <c r="R20" s="1466"/>
      <c r="S20" s="1466"/>
      <c r="T20" s="1530"/>
      <c r="AA20" s="1476"/>
      <c r="AB20" s="1476"/>
      <c r="AC20" s="1476"/>
      <c r="AD20" s="1476"/>
      <c r="AE20" s="1476"/>
      <c r="AF20" s="1476"/>
      <c r="AG20" s="1476"/>
      <c r="AH20" s="1476"/>
      <c r="AI20" s="378"/>
      <c r="AJ20" s="378"/>
      <c r="AK20" s="1476"/>
      <c r="AL20" s="1476"/>
    </row>
    <row r="21" spans="1:41" ht="15.75" customHeight="1">
      <c r="A21" s="1508" t="s">
        <v>848</v>
      </c>
      <c r="B21" s="1471" t="s">
        <v>578</v>
      </c>
      <c r="C21" s="1472"/>
      <c r="D21" s="1472"/>
      <c r="E21" s="1475"/>
      <c r="F21" s="1458" t="s">
        <v>579</v>
      </c>
      <c r="G21" s="1459"/>
      <c r="H21" s="1459"/>
      <c r="I21" s="1459"/>
      <c r="J21" s="1459"/>
      <c r="K21" s="1459"/>
      <c r="L21" s="1459"/>
      <c r="M21" s="1459"/>
      <c r="N21" s="1459"/>
      <c r="O21" s="1459"/>
      <c r="P21" s="1459"/>
      <c r="Q21" s="1460"/>
      <c r="R21" s="1515" t="s">
        <v>580</v>
      </c>
      <c r="S21" s="1515"/>
      <c r="T21" s="1516"/>
      <c r="AA21" s="1476"/>
      <c r="AB21" s="1476"/>
      <c r="AC21" s="1476"/>
      <c r="AD21" s="1476"/>
      <c r="AE21" s="1476"/>
      <c r="AF21" s="1476"/>
      <c r="AG21" s="1476"/>
      <c r="AH21" s="1476"/>
      <c r="AI21" s="378"/>
      <c r="AJ21" s="378"/>
      <c r="AK21" s="1476"/>
      <c r="AL21" s="1476"/>
    </row>
    <row r="22" spans="1:41" ht="15.75" customHeight="1">
      <c r="A22" s="1509"/>
      <c r="B22" s="1490"/>
      <c r="C22" s="1477"/>
      <c r="D22" s="1477"/>
      <c r="E22" s="1478"/>
      <c r="F22" s="1474" t="s">
        <v>581</v>
      </c>
      <c r="G22" s="1474"/>
      <c r="H22" s="1474" t="s">
        <v>582</v>
      </c>
      <c r="I22" s="1474"/>
      <c r="J22" s="1474" t="s">
        <v>583</v>
      </c>
      <c r="K22" s="1474"/>
      <c r="L22" s="1474" t="s">
        <v>584</v>
      </c>
      <c r="M22" s="1474"/>
      <c r="N22" s="1474" t="s">
        <v>585</v>
      </c>
      <c r="O22" s="1474"/>
      <c r="P22" s="1474" t="s">
        <v>586</v>
      </c>
      <c r="Q22" s="1474"/>
      <c r="R22" s="1517"/>
      <c r="S22" s="1517"/>
      <c r="T22" s="1518"/>
    </row>
    <row r="23" spans="1:41" ht="19.5" customHeight="1">
      <c r="A23" s="1510"/>
      <c r="B23" s="1465">
        <f>'대기측정 분석결과서'!E9</f>
        <v>0</v>
      </c>
      <c r="C23" s="1466"/>
      <c r="D23" s="1466"/>
      <c r="E23" s="1467"/>
      <c r="F23" s="1468" t="str">
        <f>'대기측정 분석결과서'!L11</f>
        <v>-</v>
      </c>
      <c r="G23" s="1468"/>
      <c r="H23" s="1473" t="s">
        <v>158</v>
      </c>
      <c r="I23" s="1473"/>
      <c r="J23" s="1473" t="s">
        <v>158</v>
      </c>
      <c r="K23" s="1473"/>
      <c r="L23" s="1535" t="s">
        <v>158</v>
      </c>
      <c r="M23" s="1473"/>
      <c r="N23" s="1473" t="str">
        <f>IF(F23="-","-","LNG")</f>
        <v>-</v>
      </c>
      <c r="O23" s="1473"/>
      <c r="P23" s="1474" t="str">
        <f>'대기측정 분석결과서'!N11</f>
        <v>Kg/Hr</v>
      </c>
      <c r="Q23" s="1474"/>
      <c r="R23" s="1465">
        <f>IF(F18=0,"",'대기측정 분석결과서'!E13)</f>
        <v>0</v>
      </c>
      <c r="S23" s="1466"/>
      <c r="T23" s="1530"/>
    </row>
    <row r="24" spans="1:41" ht="12" customHeight="1">
      <c r="A24" s="1567" t="s">
        <v>588</v>
      </c>
      <c r="B24" s="1460" t="s">
        <v>353</v>
      </c>
      <c r="C24" s="1473"/>
      <c r="D24" s="1473"/>
      <c r="E24" s="1473"/>
      <c r="F24" s="1473" t="s">
        <v>589</v>
      </c>
      <c r="G24" s="1473"/>
      <c r="H24" s="1473"/>
      <c r="I24" s="1473" t="s">
        <v>354</v>
      </c>
      <c r="J24" s="1473"/>
      <c r="K24" s="1473"/>
      <c r="L24" s="1491" t="s">
        <v>1150</v>
      </c>
      <c r="M24" s="1492"/>
      <c r="N24" s="1493"/>
      <c r="O24" s="1497" t="s">
        <v>504</v>
      </c>
      <c r="P24" s="1498"/>
      <c r="Q24" s="1498"/>
      <c r="R24" s="1499"/>
      <c r="S24" s="1531" t="s">
        <v>355</v>
      </c>
      <c r="T24" s="1516"/>
    </row>
    <row r="25" spans="1:41" ht="12" customHeight="1">
      <c r="A25" s="1568"/>
      <c r="B25" s="1460"/>
      <c r="C25" s="1473"/>
      <c r="D25" s="1473"/>
      <c r="E25" s="1473"/>
      <c r="F25" s="1473"/>
      <c r="G25" s="1473"/>
      <c r="H25" s="1473"/>
      <c r="I25" s="1473"/>
      <c r="J25" s="1473"/>
      <c r="K25" s="1473"/>
      <c r="L25" s="1494"/>
      <c r="M25" s="1495"/>
      <c r="N25" s="1496"/>
      <c r="O25" s="1497"/>
      <c r="P25" s="1498"/>
      <c r="Q25" s="1498"/>
      <c r="R25" s="1499"/>
      <c r="S25" s="1533"/>
      <c r="T25" s="1518"/>
    </row>
    <row r="26" spans="1:41" ht="21.95" customHeight="1">
      <c r="A26" s="1568"/>
      <c r="B26" s="1469"/>
      <c r="C26" s="1469"/>
      <c r="D26" s="1469"/>
      <c r="E26" s="1470"/>
      <c r="F26" s="1471" t="str">
        <f>IF(B26="","","??")</f>
        <v/>
      </c>
      <c r="G26" s="1472"/>
      <c r="H26" s="527" t="str">
        <f>IF(B26="","",INDEX('대기측정 분석결과서'!$AH$23:$AH$74,MATCH(B26,측정항목,0)))</f>
        <v/>
      </c>
      <c r="I26" s="1483" t="str">
        <f>IF(B26="","",
IF(INDEX('대기측정 분석결과서'!$F$23:$I$74,MATCH(B26,항목,0),1)="","값없음",
IF(ISERROR(FIXED(IF(INDEX('대기측정 분석결과서'!$F$23:$I$74,MATCH(B26,항목,0),1)&lt;INDEX('대기측정 분석결과서'!$AG$23:$AG$74,MATCH(B26,항목,0)),"불검출",
INDEX('대기측정 분석결과서'!$F$23:$I$74,MATCH(B26,항목,0),1)),INDEX('대기측정 분석결과서'!$AI$23:$AI$74,MATCH(B26,항목,0)))),"불검출",
FIXED(INDEX('대기측정 분석결과서'!$F$23:$I$74,MATCH(B26,항목,0),1),INDEX('대기측정 분석결과서'!$AI$23:$AI$74,MATCH(B26,항목,0))))))</f>
        <v/>
      </c>
      <c r="J26" s="1484"/>
      <c r="K26" s="1485"/>
      <c r="L26" s="1471" t="str">
        <f>IF(B26="","",
   IF(INDEX(Sheet1!$E$6:$F$51,MATCH(B26,Sheet1!$E$6:$E$51,0),2)="수은",
      '한종_시료채취기록지 '!$AG$20,
   IF(INDEX(Sheet1!$E$6:$F$51,MATCH(B26,Sheet1!$E$6:$E$51,0),2)="먼지",
      '한종_시료채취기록지 '!$Y$20,
   IF(INDEX(Sheet1!$E$6:$F$51,MATCH(B26,Sheet1!$E$6:$E$51,0),2)="THC",
      '한종_시료채취기록지 '!$AC$23,
   IF(INDEX(Sheet1!$E$6:$F$51,MATCH(B26,Sheet1!$E$6:$E$51,0),2)="매연",
      '한종_시료채취기록지 '!$AG$23,
   IF(INDEX(Sheet1!$E$6:$F$51,MATCH(B26,Sheet1!$E$6:$E$51,0),2)="옵티마",
      '한종_시료채취기록지 '!$Y$23,
   IF(INDEX(Sheet1!$E$6:$F$51,MATCH(B26,Sheet1!$E$6:$E$51,0),2)="중금속",
      '한종_시료채취기록지 '!$AC$20,
   IF(INDEX(Sheet1!$E$6:$F$51,MATCH(B26,Sheet1!$E$6:$E$51,0),2)="T",
    IFERROR(
         INDEX(가스상항목시간,MATCH("VOCs-T",가스상항목,0),5),
         INDEX(가스상항목시간,MATCH("VOCs-A",가스상항목,0),5)
      ),
   IF(INDEX(Sheet1!$E$6:$F$51,MATCH(B26,Sheet1!$E$6:$E$51,0),2)="A",
         INDEX(가스상항목시간,MATCH("VOCs-A",가스상항목,0),5),
   IF(INDEX(Sheet1!$E$6:$F$51,MATCH(B26,Sheet1!$E$6:$E$51,0),2)="DNPH",
      INDEX(가스상항목시간,MATCH("VOCs",가스상항목,0),5),
      INDEX(가스상항목시간,MATCH(B26,가스상항목,0),5)
   ))))))))))</f>
        <v/>
      </c>
      <c r="M26" s="1472"/>
      <c r="N26" s="1475"/>
      <c r="O26" s="1471" t="str">
        <f>IF(B26="","",INDEX('대기측정 분석결과서'!$Z$23:$Z$74,MATCH(B26,항목,0)))</f>
        <v/>
      </c>
      <c r="P26" s="1472"/>
      <c r="Q26" s="1472"/>
      <c r="R26" s="1475"/>
      <c r="S26" s="1486" t="str">
        <f>IF(B26="","",INDEX('대기측정 분석결과서'!$M$23:$M$74,MATCH(B26,항목,0)))</f>
        <v/>
      </c>
      <c r="T26" s="1487"/>
    </row>
    <row r="27" spans="1:41" ht="21.95" customHeight="1">
      <c r="A27" s="1568"/>
      <c r="B27" s="1469"/>
      <c r="C27" s="1469"/>
      <c r="D27" s="1469"/>
      <c r="E27" s="1470"/>
      <c r="F27" s="1471" t="str">
        <f t="shared" ref="F27:F30" si="0">IF(B27="","","??")</f>
        <v/>
      </c>
      <c r="G27" s="1472"/>
      <c r="H27" s="527" t="str">
        <f>IF(B27="","",INDEX('대기측정 분석결과서'!$AH$23:$AH$74,MATCH(B27,측정항목,0)))</f>
        <v/>
      </c>
      <c r="I27" s="1483" t="str">
        <f>IF(B27="","",
IF(INDEX('대기측정 분석결과서'!$F$23:$I$74,MATCH(B27,항목,0),1)="","값없음",
IF(ISERROR(FIXED(IF(INDEX('대기측정 분석결과서'!$F$23:$I$74,MATCH(B27,항목,0),1)&lt;INDEX('대기측정 분석결과서'!$AG$23:$AG$74,MATCH(B27,항목,0)),"불검출",
INDEX('대기측정 분석결과서'!$F$23:$I$74,MATCH(B27,항목,0),1)),INDEX('대기측정 분석결과서'!$AI$23:$AI$74,MATCH(B27,항목,0)))),"불검출",
FIXED(INDEX('대기측정 분석결과서'!$F$23:$I$74,MATCH(B27,항목,0),1),INDEX('대기측정 분석결과서'!$AI$23:$AI$74,MATCH(B27,항목,0))))))</f>
        <v/>
      </c>
      <c r="J27" s="1484"/>
      <c r="K27" s="1485"/>
      <c r="L27" s="1471" t="str">
        <f>IF(B27="","",
   IF(INDEX(Sheet1!$E$6:$F$51,MATCH(B27,Sheet1!$E$6:$E$51,0),2)="수은",
      '한종_시료채취기록지 '!$AG$20,
   IF(INDEX(Sheet1!$E$6:$F$51,MATCH(B27,Sheet1!$E$6:$E$51,0),2)="먼지",
      '한종_시료채취기록지 '!$Y$20,
   IF(INDEX(Sheet1!$E$6:$F$51,MATCH(B27,Sheet1!$E$6:$E$51,0),2)="THC",
      '한종_시료채취기록지 '!$AC$23,
   IF(INDEX(Sheet1!$E$6:$F$51,MATCH(B27,Sheet1!$E$6:$E$51,0),2)="매연",
      '한종_시료채취기록지 '!$AG$23,
   IF(INDEX(Sheet1!$E$6:$F$51,MATCH(B27,Sheet1!$E$6:$E$51,0),2)="옵티마",
      '한종_시료채취기록지 '!$Y$23,
   IF(INDEX(Sheet1!$E$6:$F$51,MATCH(B27,Sheet1!$E$6:$E$51,0),2)="중금속",
      '한종_시료채취기록지 '!$AC$20,
   IF(INDEX(Sheet1!$E$6:$F$51,MATCH(B27,Sheet1!$E$6:$E$51,0),2)="T",
    IFERROR(
         INDEX(가스상항목시간,MATCH("VOCs-T",가스상항목,0),5),
         INDEX(가스상항목시간,MATCH("VOCs-A",가스상항목,0),5)
      ),
   IF(INDEX(Sheet1!$E$6:$F$51,MATCH(B27,Sheet1!$E$6:$E$51,0),2)="A",
         INDEX(가스상항목시간,MATCH("VOCs-A",가스상항목,0),5),
   IF(INDEX(Sheet1!$E$6:$F$51,MATCH(B27,Sheet1!$E$6:$E$51,0),2)="DNPH",
      INDEX(가스상항목시간,MATCH("VOCs",가스상항목,0),5),
      INDEX(가스상항목시간,MATCH(B27,가스상항목,0),5)
   ))))))))))</f>
        <v/>
      </c>
      <c r="M27" s="1472"/>
      <c r="N27" s="1475"/>
      <c r="O27" s="1471" t="str">
        <f>IF(B27="","",INDEX('대기측정 분석결과서'!$Z$23:$Z$74,MATCH(B27,항목,0)))</f>
        <v/>
      </c>
      <c r="P27" s="1472"/>
      <c r="Q27" s="1472"/>
      <c r="R27" s="1475"/>
      <c r="S27" s="1486" t="str">
        <f>IF(B27="","",INDEX('대기측정 분석결과서'!$M$23:$M$74,MATCH(B27,항목,0)))</f>
        <v/>
      </c>
      <c r="T27" s="1487"/>
      <c r="W27" s="1590" t="s">
        <v>1223</v>
      </c>
      <c r="X27" s="1459"/>
      <c r="Y27" s="1459"/>
      <c r="Z27" s="1459"/>
      <c r="AA27" s="1459"/>
      <c r="AB27" s="1459"/>
      <c r="AC27" s="1459"/>
      <c r="AD27" s="1459"/>
      <c r="AE27" s="1459"/>
      <c r="AF27" s="1459"/>
      <c r="AG27" s="1459"/>
      <c r="AH27" s="1459"/>
      <c r="AI27" s="1459"/>
      <c r="AJ27" s="1459"/>
      <c r="AK27" s="1459"/>
      <c r="AL27" s="1459"/>
      <c r="AM27" s="1459"/>
      <c r="AN27" s="1459"/>
      <c r="AO27" s="1519"/>
    </row>
    <row r="28" spans="1:41" ht="21.95" customHeight="1">
      <c r="A28" s="1568"/>
      <c r="B28" s="1469"/>
      <c r="C28" s="1469"/>
      <c r="D28" s="1469"/>
      <c r="E28" s="1470"/>
      <c r="F28" s="1471" t="str">
        <f t="shared" si="0"/>
        <v/>
      </c>
      <c r="G28" s="1472"/>
      <c r="H28" s="527" t="str">
        <f>IF(B28="","",INDEX('대기측정 분석결과서'!$AH$23:$AH$74,MATCH(B28,측정항목,0)))</f>
        <v/>
      </c>
      <c r="I28" s="1483" t="str">
        <f>IF(B28="","",
IF(INDEX('대기측정 분석결과서'!$F$23:$I$74,MATCH(B28,항목,0),1)="","값없음",
IF(ISERROR(FIXED(IF(INDEX('대기측정 분석결과서'!$F$23:$I$74,MATCH(B28,항목,0),1)&lt;INDEX('대기측정 분석결과서'!$AG$23:$AG$74,MATCH(B28,항목,0)),"불검출",
INDEX('대기측정 분석결과서'!$F$23:$I$74,MATCH(B28,항목,0),1)),INDEX('대기측정 분석결과서'!$AI$23:$AI$74,MATCH(B28,항목,0)))),"불검출",
FIXED(INDEX('대기측정 분석결과서'!$F$23:$I$74,MATCH(B28,항목,0),1),INDEX('대기측정 분석결과서'!$AI$23:$AI$74,MATCH(B28,항목,0))))))</f>
        <v/>
      </c>
      <c r="J28" s="1484"/>
      <c r="K28" s="1485"/>
      <c r="L28" s="1471" t="str">
        <f>IF(B28="","",
   IF(INDEX(Sheet1!$E$6:$F$51,MATCH(B28,Sheet1!$E$6:$E$51,0),2)="수은",
      '한종_시료채취기록지 '!$AG$20,
   IF(INDEX(Sheet1!$E$6:$F$51,MATCH(B28,Sheet1!$E$6:$E$51,0),2)="먼지",
      '한종_시료채취기록지 '!$Y$20,
   IF(INDEX(Sheet1!$E$6:$F$51,MATCH(B28,Sheet1!$E$6:$E$51,0),2)="THC",
      '한종_시료채취기록지 '!$AC$23,
   IF(INDEX(Sheet1!$E$6:$F$51,MATCH(B28,Sheet1!$E$6:$E$51,0),2)="매연",
      '한종_시료채취기록지 '!$AG$23,
   IF(INDEX(Sheet1!$E$6:$F$51,MATCH(B28,Sheet1!$E$6:$E$51,0),2)="옵티마",
      '한종_시료채취기록지 '!$Y$23,
   IF(INDEX(Sheet1!$E$6:$F$51,MATCH(B28,Sheet1!$E$6:$E$51,0),2)="중금속",
      '한종_시료채취기록지 '!$AC$20,
   IF(INDEX(Sheet1!$E$6:$F$51,MATCH(B28,Sheet1!$E$6:$E$51,0),2)="T",
    IFERROR(
         INDEX(가스상항목시간,MATCH("VOCs-T",가스상항목,0),5),
         INDEX(가스상항목시간,MATCH("VOCs-A",가스상항목,0),5)
      ),
   IF(INDEX(Sheet1!$E$6:$F$51,MATCH(B28,Sheet1!$E$6:$E$51,0),2)="A",
         INDEX(가스상항목시간,MATCH("VOCs-A",가스상항목,0),5),
   IF(INDEX(Sheet1!$E$6:$F$51,MATCH(B28,Sheet1!$E$6:$E$51,0),2)="DNPH",
      INDEX(가스상항목시간,MATCH("VOCs",가스상항목,0),5),
      INDEX(가스상항목시간,MATCH(B28,가스상항목,0),5)
   ))))))))))</f>
        <v/>
      </c>
      <c r="M28" s="1472"/>
      <c r="N28" s="1475"/>
      <c r="O28" s="1471" t="str">
        <f>IF(B28="","",INDEX('대기측정 분석결과서'!$Z$23:$Z$74,MATCH(B28,항목,0)))</f>
        <v/>
      </c>
      <c r="P28" s="1472"/>
      <c r="Q28" s="1472"/>
      <c r="R28" s="1475"/>
      <c r="S28" s="1486" t="str">
        <f>IF(B28="","",INDEX('대기측정 분석결과서'!$M$23:$M$74,MATCH(B28,항목,0)))</f>
        <v/>
      </c>
      <c r="T28" s="1487"/>
    </row>
    <row r="29" spans="1:41" ht="21.95" customHeight="1">
      <c r="A29" s="1568"/>
      <c r="B29" s="1469"/>
      <c r="C29" s="1469"/>
      <c r="D29" s="1469"/>
      <c r="E29" s="1470"/>
      <c r="F29" s="1471" t="str">
        <f t="shared" si="0"/>
        <v/>
      </c>
      <c r="G29" s="1472"/>
      <c r="H29" s="527" t="str">
        <f>IF(B29="","",INDEX('대기측정 분석결과서'!$AH$23:$AH$74,MATCH(B29,측정항목,0)))</f>
        <v/>
      </c>
      <c r="I29" s="1483" t="str">
        <f>IF(B29="","",
IF(INDEX('대기측정 분석결과서'!$F$23:$I$74,MATCH(B29,항목,0),1)="","값없음",
IF(ISERROR(FIXED(IF(INDEX('대기측정 분석결과서'!$F$23:$I$74,MATCH(B29,항목,0),1)&lt;INDEX('대기측정 분석결과서'!$AG$23:$AG$74,MATCH(B29,항목,0)),"불검출",
INDEX('대기측정 분석결과서'!$F$23:$I$74,MATCH(B29,항목,0),1)),INDEX('대기측정 분석결과서'!$AI$23:$AI$74,MATCH(B29,항목,0)))),"불검출",
FIXED(INDEX('대기측정 분석결과서'!$F$23:$I$74,MATCH(B29,항목,0),1),INDEX('대기측정 분석결과서'!$AI$23:$AI$74,MATCH(B29,항목,0))))))</f>
        <v/>
      </c>
      <c r="J29" s="1484"/>
      <c r="K29" s="1485"/>
      <c r="L29" s="1471" t="str">
        <f>IF(B29="","",
   IF(INDEX(Sheet1!$E$6:$F$51,MATCH(B29,Sheet1!$E$6:$E$51,0),2)="수은",
      '한종_시료채취기록지 '!$AG$20,
   IF(INDEX(Sheet1!$E$6:$F$51,MATCH(B29,Sheet1!$E$6:$E$51,0),2)="먼지",
      '한종_시료채취기록지 '!$Y$20,
   IF(INDEX(Sheet1!$E$6:$F$51,MATCH(B29,Sheet1!$E$6:$E$51,0),2)="THC",
      '한종_시료채취기록지 '!$AC$23,
   IF(INDEX(Sheet1!$E$6:$F$51,MATCH(B29,Sheet1!$E$6:$E$51,0),2)="매연",
      '한종_시료채취기록지 '!$AG$23,
   IF(INDEX(Sheet1!$E$6:$F$51,MATCH(B29,Sheet1!$E$6:$E$51,0),2)="옵티마",
      '한종_시료채취기록지 '!$Y$23,
   IF(INDEX(Sheet1!$E$6:$F$51,MATCH(B29,Sheet1!$E$6:$E$51,0),2)="중금속",
      '한종_시료채취기록지 '!$AC$20,
   IF(INDEX(Sheet1!$E$6:$F$51,MATCH(B29,Sheet1!$E$6:$E$51,0),2)="T",
    IFERROR(
         INDEX(가스상항목시간,MATCH("VOCs-T",가스상항목,0),5),
         INDEX(가스상항목시간,MATCH("VOCs-A",가스상항목,0),5)
      ),
   IF(INDEX(Sheet1!$E$6:$F$51,MATCH(B29,Sheet1!$E$6:$E$51,0),2)="A",
         INDEX(가스상항목시간,MATCH("VOCs-A",가스상항목,0),5),
   IF(INDEX(Sheet1!$E$6:$F$51,MATCH(B29,Sheet1!$E$6:$E$51,0),2)="DNPH",
      INDEX(가스상항목시간,MATCH("VOCs",가스상항목,0),5),
      INDEX(가스상항목시간,MATCH(B29,가스상항목,0),5)
   ))))))))))</f>
        <v/>
      </c>
      <c r="M29" s="1472"/>
      <c r="N29" s="1475"/>
      <c r="O29" s="1471" t="str">
        <f>IF(B29="","",INDEX('대기측정 분석결과서'!$Z$23:$Z$74,MATCH(B29,항목,0)))</f>
        <v/>
      </c>
      <c r="P29" s="1472"/>
      <c r="Q29" s="1472"/>
      <c r="R29" s="1475"/>
      <c r="S29" s="1486" t="str">
        <f>IF(B29="","",INDEX('대기측정 분석결과서'!$M$23:$M$74,MATCH(B29,항목,0)))</f>
        <v/>
      </c>
      <c r="T29" s="1487"/>
    </row>
    <row r="30" spans="1:41" ht="21.95" customHeight="1">
      <c r="A30" s="1568"/>
      <c r="B30" s="1469"/>
      <c r="C30" s="1469"/>
      <c r="D30" s="1469"/>
      <c r="E30" s="1470"/>
      <c r="F30" s="1471" t="str">
        <f t="shared" si="0"/>
        <v/>
      </c>
      <c r="G30" s="1472"/>
      <c r="H30" s="527" t="str">
        <f>IF(B30="","",INDEX('대기측정 분석결과서'!$AH$23:$AH$74,MATCH(B30,측정항목,0)))</f>
        <v/>
      </c>
      <c r="I30" s="1483" t="str">
        <f>IF(B30="","",
IF(INDEX('대기측정 분석결과서'!$F$23:$I$74,MATCH(B30,항목,0),1)="","값없음",
IF(ISERROR(FIXED(IF(INDEX('대기측정 분석결과서'!$F$23:$I$74,MATCH(B30,항목,0),1)&lt;INDEX('대기측정 분석결과서'!$AG$23:$AG$74,MATCH(B30,항목,0)),"불검출",
INDEX('대기측정 분석결과서'!$F$23:$I$74,MATCH(B30,항목,0),1)),INDEX('대기측정 분석결과서'!$AI$23:$AI$74,MATCH(B30,항목,0)))),"불검출",
FIXED(INDEX('대기측정 분석결과서'!$F$23:$I$74,MATCH(B30,항목,0),1),INDEX('대기측정 분석결과서'!$AI$23:$AI$74,MATCH(B30,항목,0))))))</f>
        <v/>
      </c>
      <c r="J30" s="1484"/>
      <c r="K30" s="1485"/>
      <c r="L30" s="1471" t="str">
        <f>IF(B30="","",
   IF(INDEX(Sheet1!$E$6:$F$51,MATCH(B30,Sheet1!$E$6:$E$51,0),2)="수은",
      '한종_시료채취기록지 '!$AG$20,
   IF(INDEX(Sheet1!$E$6:$F$51,MATCH(B30,Sheet1!$E$6:$E$51,0),2)="먼지",
      '한종_시료채취기록지 '!$Y$20,
   IF(INDEX(Sheet1!$E$6:$F$51,MATCH(B30,Sheet1!$E$6:$E$51,0),2)="THC",
      '한종_시료채취기록지 '!$AC$23,
   IF(INDEX(Sheet1!$E$6:$F$51,MATCH(B30,Sheet1!$E$6:$E$51,0),2)="매연",
      '한종_시료채취기록지 '!$AG$23,
   IF(INDEX(Sheet1!$E$6:$F$51,MATCH(B30,Sheet1!$E$6:$E$51,0),2)="옵티마",
      '한종_시료채취기록지 '!$Y$23,
   IF(INDEX(Sheet1!$E$6:$F$51,MATCH(B30,Sheet1!$E$6:$E$51,0),2)="중금속",
      '한종_시료채취기록지 '!$AC$20,
   IF(INDEX(Sheet1!$E$6:$F$51,MATCH(B30,Sheet1!$E$6:$E$51,0),2)="T",
    IFERROR(
         INDEX(가스상항목시간,MATCH("VOCs-T",가스상항목,0),5),
         INDEX(가스상항목시간,MATCH("VOCs-A",가스상항목,0),5)
      ),
   IF(INDEX(Sheet1!$E$6:$F$51,MATCH(B30,Sheet1!$E$6:$E$51,0),2)="A",
         INDEX(가스상항목시간,MATCH("VOCs-A",가스상항목,0),5),
   IF(INDEX(Sheet1!$E$6:$F$51,MATCH(B30,Sheet1!$E$6:$E$51,0),2)="DNPH",
      INDEX(가스상항목시간,MATCH("VOCs",가스상항목,0),5),
      INDEX(가스상항목시간,MATCH(B30,가스상항목,0),5)
   ))))))))))</f>
        <v/>
      </c>
      <c r="M30" s="1472"/>
      <c r="N30" s="1475"/>
      <c r="O30" s="1471" t="str">
        <f>IF(B30="","",INDEX('대기측정 분석결과서'!$Z$23:$Z$74,MATCH(B30,항목,0)))</f>
        <v/>
      </c>
      <c r="P30" s="1472"/>
      <c r="Q30" s="1472"/>
      <c r="R30" s="1475"/>
      <c r="S30" s="1486" t="str">
        <f>IF(B30="","",INDEX('대기측정 분석결과서'!$M$23:$M$74,MATCH(B30,항목,0)))</f>
        <v/>
      </c>
      <c r="T30" s="1487"/>
    </row>
    <row r="31" spans="1:41" ht="21.95" customHeight="1">
      <c r="A31" s="1568"/>
      <c r="B31" s="1591"/>
      <c r="C31" s="1592"/>
      <c r="D31" s="1592"/>
      <c r="E31" s="1593"/>
      <c r="F31" s="1458" t="str">
        <f t="shared" ref="F31:F40" si="1">IF(B31="","","??")</f>
        <v/>
      </c>
      <c r="G31" s="1459"/>
      <c r="H31" s="527" t="str">
        <f>IF(B31="","",INDEX('대기측정 분석결과서'!$AH$23:$AH$74,MATCH(B31,측정항목,0)))</f>
        <v/>
      </c>
      <c r="I31" s="148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84"/>
      <c r="K31" s="1485"/>
      <c r="L31" s="1458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59"/>
      <c r="N31" s="1460"/>
      <c r="O31" s="1471" t="str">
        <f>IF(B31="","",INDEX('대기측정 분석결과서'!$Z$23:$Z$74,MATCH(B31,항목,0)))</f>
        <v/>
      </c>
      <c r="P31" s="1472"/>
      <c r="Q31" s="1472"/>
      <c r="R31" s="1475"/>
      <c r="S31" s="1486" t="str">
        <f>IF(B31="","",INDEX('대기측정 분석결과서'!$M$23:$M$74,MATCH(B31,항목,0)))</f>
        <v/>
      </c>
      <c r="T31" s="1487"/>
    </row>
    <row r="32" spans="1:41" ht="21.95" customHeight="1">
      <c r="A32" s="1568"/>
      <c r="B32" s="1469"/>
      <c r="C32" s="1469"/>
      <c r="D32" s="1469"/>
      <c r="E32" s="1470"/>
      <c r="F32" s="1471" t="str">
        <f t="shared" si="1"/>
        <v/>
      </c>
      <c r="G32" s="1472"/>
      <c r="H32" s="527" t="str">
        <f>IF(B32="","",INDEX('대기측정 분석결과서'!$AH$23:$AH$74,MATCH(B32,측정항목,0)))</f>
        <v/>
      </c>
      <c r="I32" s="148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84"/>
      <c r="K32" s="1485"/>
      <c r="L32" s="147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72"/>
      <c r="N32" s="1475"/>
      <c r="O32" s="1471" t="str">
        <f>IF(B32="","",INDEX('대기측정 분석결과서'!$Z$23:$Z$74,MATCH(B32,항목,0)))</f>
        <v/>
      </c>
      <c r="P32" s="1472"/>
      <c r="Q32" s="1472"/>
      <c r="R32" s="1475"/>
      <c r="S32" s="1486" t="str">
        <f>IF(B32="","",INDEX('대기측정 분석결과서'!$M$23:$M$74,MATCH(B32,항목,0)))</f>
        <v/>
      </c>
      <c r="T32" s="1487"/>
    </row>
    <row r="33" spans="1:29" ht="21.95" customHeight="1">
      <c r="A33" s="1568"/>
      <c r="B33" s="1469"/>
      <c r="C33" s="1469"/>
      <c r="D33" s="1469"/>
      <c r="E33" s="1470"/>
      <c r="F33" s="1471" t="str">
        <f t="shared" si="1"/>
        <v/>
      </c>
      <c r="G33" s="1472"/>
      <c r="H33" s="527" t="str">
        <f>IF(B33="","",INDEX('대기측정 분석결과서'!$AH$23:$AH$74,MATCH(B33,측정항목,0)))</f>
        <v/>
      </c>
      <c r="I33" s="148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84"/>
      <c r="K33" s="1485"/>
      <c r="L33" s="147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72"/>
      <c r="N33" s="1475"/>
      <c r="O33" s="1471" t="str">
        <f>IF(B33="","",INDEX('대기측정 분석결과서'!$Z$23:$Z$74,MATCH(B33,항목,0)))</f>
        <v/>
      </c>
      <c r="P33" s="1472"/>
      <c r="Q33" s="1472"/>
      <c r="R33" s="1475"/>
      <c r="S33" s="1486" t="str">
        <f>IF(B33="","",INDEX('대기측정 분석결과서'!$M$23:$M$74,MATCH(B33,항목,0)))</f>
        <v/>
      </c>
      <c r="T33" s="1487"/>
      <c r="V33" s="378"/>
    </row>
    <row r="34" spans="1:29" ht="21.95" customHeight="1">
      <c r="A34" s="1568"/>
      <c r="B34" s="1469"/>
      <c r="C34" s="1469"/>
      <c r="D34" s="1469"/>
      <c r="E34" s="1470"/>
      <c r="F34" s="1471" t="str">
        <f t="shared" si="1"/>
        <v/>
      </c>
      <c r="G34" s="1472"/>
      <c r="H34" s="527" t="str">
        <f>IF(B34="","",INDEX('대기측정 분석결과서'!$AH$23:$AH$74,MATCH(B34,측정항목,0)))</f>
        <v/>
      </c>
      <c r="I34" s="1483" t="str">
        <f>IF(B34="","",
IF(INDEX('대기측정 분석결과서'!$F$23:$I$74,MATCH(B34,항목,0),1)="","값없음",
IF(ISERROR(FIXED(IF(INDEX('대기측정 분석결과서'!$F$23:$I$74,MATCH(B34,항목,0),1)&lt;INDEX('대기측정 분석결과서'!$AG$23:$AG$74,MATCH(B34,항목,0)),"불검출",
INDEX('대기측정 분석결과서'!$F$23:$I$74,MATCH(B34,항목,0),1)),INDEX('대기측정 분석결과서'!$AI$23:$AI$74,MATCH(B34,항목,0)))),"불검출",
FIXED(INDEX('대기측정 분석결과서'!$F$23:$I$74,MATCH(B34,항목,0),1),INDEX('대기측정 분석결과서'!$AI$23:$AI$74,MATCH(B34,항목,0))))))</f>
        <v/>
      </c>
      <c r="J34" s="1484"/>
      <c r="K34" s="1485"/>
      <c r="L34" s="1471" t="str">
        <f>IF(B34="","",
   IF(INDEX(Sheet1!$E$6:$F$51,MATCH(B34,Sheet1!$E$6:$E$51,0),2)="수은",
      '한종_시료채취기록지 '!$AG$20,
   IF(INDEX(Sheet1!$E$6:$F$51,MATCH(B34,Sheet1!$E$6:$E$51,0),2)="먼지",
      '한종_시료채취기록지 '!$Y$20,
   IF(INDEX(Sheet1!$E$6:$F$51,MATCH(B34,Sheet1!$E$6:$E$51,0),2)="THC",
      '한종_시료채취기록지 '!$AC$23,
   IF(INDEX(Sheet1!$E$6:$F$51,MATCH(B34,Sheet1!$E$6:$E$51,0),2)="매연",
      '한종_시료채취기록지 '!$AG$23,
   IF(INDEX(Sheet1!$E$6:$F$51,MATCH(B34,Sheet1!$E$6:$E$51,0),2)="옵티마",
      '한종_시료채취기록지 '!$Y$23,
   IF(INDEX(Sheet1!$E$6:$F$51,MATCH(B34,Sheet1!$E$6:$E$51,0),2)="중금속",
      '한종_시료채취기록지 '!$AC$20,
   IF(INDEX(Sheet1!$E$6:$F$51,MATCH(B34,Sheet1!$E$6:$E$51,0),2)="T",
    IFERROR(
         INDEX(가스상항목시간,MATCH("VOCs-T",가스상항목,0),5),
         INDEX(가스상항목시간,MATCH("VOCs-A",가스상항목,0),5)
      ),
   IF(INDEX(Sheet1!$E$6:$F$51,MATCH(B34,Sheet1!$E$6:$E$51,0),2)="A",
         INDEX(가스상항목시간,MATCH("VOCs-A",가스상항목,0),5),
   IF(INDEX(Sheet1!$E$6:$F$51,MATCH(B34,Sheet1!$E$6:$E$51,0),2)="DNPH",
      INDEX(가스상항목시간,MATCH("VOCs",가스상항목,0),5),
      INDEX(가스상항목시간,MATCH(B34,가스상항목,0),5)
   ))))))))))</f>
        <v/>
      </c>
      <c r="M34" s="1472"/>
      <c r="N34" s="1475"/>
      <c r="O34" s="1471" t="str">
        <f>IF(B34="","",INDEX('대기측정 분석결과서'!$Z$23:$Z$74,MATCH(B34,항목,0)))</f>
        <v/>
      </c>
      <c r="P34" s="1472"/>
      <c r="Q34" s="1472"/>
      <c r="R34" s="1475"/>
      <c r="S34" s="1486" t="str">
        <f>IF(B34="","",INDEX('대기측정 분석결과서'!$M$23:$M$74,MATCH(B34,항목,0)))</f>
        <v/>
      </c>
      <c r="T34" s="1487"/>
      <c r="U34" s="397"/>
    </row>
    <row r="35" spans="1:29" ht="21.95" customHeight="1">
      <c r="A35" s="1568"/>
      <c r="B35" s="1469"/>
      <c r="C35" s="1469"/>
      <c r="D35" s="1469"/>
      <c r="E35" s="1470"/>
      <c r="F35" s="1471" t="str">
        <f t="shared" si="1"/>
        <v/>
      </c>
      <c r="G35" s="1472"/>
      <c r="H35" s="527" t="str">
        <f>IF(B35="","",INDEX('대기측정 분석결과서'!$AH$23:$AH$74,MATCH(B35,측정항목,0)))</f>
        <v/>
      </c>
      <c r="I35" s="1483" t="str">
        <f>IF(B35="","",
IF(INDEX('대기측정 분석결과서'!$F$23:$I$74,MATCH(B35,항목,0),1)="","값없음",
IF(ISERROR(FIXED(IF(INDEX('대기측정 분석결과서'!$F$23:$I$74,MATCH(B35,항목,0),1)&lt;INDEX('대기측정 분석결과서'!$AG$23:$AG$74,MATCH(B35,항목,0)),"불검출",
INDEX('대기측정 분석결과서'!$F$23:$I$74,MATCH(B35,항목,0),1)),INDEX('대기측정 분석결과서'!$AI$23:$AI$74,MATCH(B35,항목,0)))),"불검출",
FIXED(INDEX('대기측정 분석결과서'!$F$23:$I$74,MATCH(B35,항목,0),1),INDEX('대기측정 분석결과서'!$AI$23:$AI$74,MATCH(B35,항목,0))))))</f>
        <v/>
      </c>
      <c r="J35" s="1484"/>
      <c r="K35" s="1485"/>
      <c r="L35" s="1471" t="str">
        <f>IF(B35="","",
   IF(INDEX(Sheet1!$E$6:$F$51,MATCH(B35,Sheet1!$E$6:$E$51,0),2)="수은",
      '한종_시료채취기록지 '!$AG$20,
   IF(INDEX(Sheet1!$E$6:$F$51,MATCH(B35,Sheet1!$E$6:$E$51,0),2)="먼지",
      '한종_시료채취기록지 '!$Y$20,
   IF(INDEX(Sheet1!$E$6:$F$51,MATCH(B35,Sheet1!$E$6:$E$51,0),2)="THC",
      '한종_시료채취기록지 '!$AC$23,
   IF(INDEX(Sheet1!$E$6:$F$51,MATCH(B35,Sheet1!$E$6:$E$51,0),2)="매연",
      '한종_시료채취기록지 '!$AG$23,
   IF(INDEX(Sheet1!$E$6:$F$51,MATCH(B35,Sheet1!$E$6:$E$51,0),2)="옵티마",
      '한종_시료채취기록지 '!$Y$23,
   IF(INDEX(Sheet1!$E$6:$F$51,MATCH(B35,Sheet1!$E$6:$E$51,0),2)="중금속",
      '한종_시료채취기록지 '!$AC$20,
   IF(INDEX(Sheet1!$E$6:$F$51,MATCH(B35,Sheet1!$E$6:$E$51,0),2)="T",
    IFERROR(
         INDEX(가스상항목시간,MATCH("VOCs-T",가스상항목,0),5),
         INDEX(가스상항목시간,MATCH("VOCs-A",가스상항목,0),5)
      ),
   IF(INDEX(Sheet1!$E$6:$F$51,MATCH(B35,Sheet1!$E$6:$E$51,0),2)="A",
         INDEX(가스상항목시간,MATCH("VOCs-A",가스상항목,0),5),
   IF(INDEX(Sheet1!$E$6:$F$51,MATCH(B35,Sheet1!$E$6:$E$51,0),2)="DNPH",
      INDEX(가스상항목시간,MATCH("VOCs",가스상항목,0),5),
      INDEX(가스상항목시간,MATCH(B35,가스상항목,0),5)
   ))))))))))</f>
        <v/>
      </c>
      <c r="M35" s="1472"/>
      <c r="N35" s="1475"/>
      <c r="O35" s="1471" t="str">
        <f>IF(B35="","",INDEX('대기측정 분석결과서'!$Z$23:$Z$74,MATCH(B35,항목,0)))</f>
        <v/>
      </c>
      <c r="P35" s="1472"/>
      <c r="Q35" s="1472"/>
      <c r="R35" s="1475"/>
      <c r="S35" s="1486" t="str">
        <f>IF(B35="","",INDEX('대기측정 분석결과서'!$M$23:$M$74,MATCH(B35,항목,0)))</f>
        <v/>
      </c>
      <c r="T35" s="1487"/>
      <c r="U35" s="378"/>
    </row>
    <row r="36" spans="1:29" ht="21.95" customHeight="1">
      <c r="A36" s="1568"/>
      <c r="B36" s="1469"/>
      <c r="C36" s="1469"/>
      <c r="D36" s="1469"/>
      <c r="E36" s="1470"/>
      <c r="F36" s="1471" t="str">
        <f t="shared" si="1"/>
        <v/>
      </c>
      <c r="G36" s="1472"/>
      <c r="H36" s="527" t="str">
        <f>IF(B36="","",INDEX('대기측정 분석결과서'!$AH$23:$AH$74,MATCH(B36,측정항목,0)))</f>
        <v/>
      </c>
      <c r="I36" s="1483" t="str">
        <f>IF(B36="","",
IF(INDEX('대기측정 분석결과서'!$F$23:$I$74,MATCH(B36,항목,0),1)="","값없음",
IF(ISERROR(FIXED(IF(INDEX('대기측정 분석결과서'!$F$23:$I$74,MATCH(B36,항목,0),1)&lt;INDEX('대기측정 분석결과서'!$AG$23:$AG$74,MATCH(B36,항목,0)),"불검출",
INDEX('대기측정 분석결과서'!$F$23:$I$74,MATCH(B36,항목,0),1)),INDEX('대기측정 분석결과서'!$AI$23:$AI$74,MATCH(B36,항목,0)))),"불검출",
FIXED(INDEX('대기측정 분석결과서'!$F$23:$I$74,MATCH(B36,항목,0),1),INDEX('대기측정 분석결과서'!$AI$23:$AI$74,MATCH(B36,항목,0))))))</f>
        <v/>
      </c>
      <c r="J36" s="1484"/>
      <c r="K36" s="1485"/>
      <c r="L36" s="1471" t="str">
        <f>IF(B36="","",
   IF(INDEX(Sheet1!$E$6:$F$51,MATCH(B36,Sheet1!$E$6:$E$51,0),2)="수은",
      '한종_시료채취기록지 '!$AG$20,
   IF(INDEX(Sheet1!$E$6:$F$51,MATCH(B36,Sheet1!$E$6:$E$51,0),2)="먼지",
      '한종_시료채취기록지 '!$Y$20,
   IF(INDEX(Sheet1!$E$6:$F$51,MATCH(B36,Sheet1!$E$6:$E$51,0),2)="THC",
      '한종_시료채취기록지 '!$AC$23,
   IF(INDEX(Sheet1!$E$6:$F$51,MATCH(B36,Sheet1!$E$6:$E$51,0),2)="매연",
      '한종_시료채취기록지 '!$AG$23,
   IF(INDEX(Sheet1!$E$6:$F$51,MATCH(B36,Sheet1!$E$6:$E$51,0),2)="옵티마",
      '한종_시료채취기록지 '!$Y$23,
   IF(INDEX(Sheet1!$E$6:$F$51,MATCH(B36,Sheet1!$E$6:$E$51,0),2)="중금속",
      '한종_시료채취기록지 '!$AC$20,
   IF(INDEX(Sheet1!$E$6:$F$51,MATCH(B36,Sheet1!$E$6:$E$51,0),2)="T",
    IFERROR(
         INDEX(가스상항목시간,MATCH("VOCs-T",가스상항목,0),5),
         INDEX(가스상항목시간,MATCH("VOCs-A",가스상항목,0),5)
      ),
   IF(INDEX(Sheet1!$E$6:$F$51,MATCH(B36,Sheet1!$E$6:$E$51,0),2)="A",
         INDEX(가스상항목시간,MATCH("VOCs-A",가스상항목,0),5),
   IF(INDEX(Sheet1!$E$6:$F$51,MATCH(B36,Sheet1!$E$6:$E$51,0),2)="DNPH",
      INDEX(가스상항목시간,MATCH("VOCs",가스상항목,0),5),
      INDEX(가스상항목시간,MATCH(B36,가스상항목,0),5)
   ))))))))))</f>
        <v/>
      </c>
      <c r="M36" s="1472"/>
      <c r="N36" s="1475"/>
      <c r="O36" s="1471" t="str">
        <f>IF(B36="","",INDEX('대기측정 분석결과서'!$Z$23:$Z$74,MATCH(B36,항목,0)))</f>
        <v/>
      </c>
      <c r="P36" s="1472"/>
      <c r="Q36" s="1472"/>
      <c r="R36" s="1475"/>
      <c r="S36" s="1486" t="str">
        <f>IF(B36="","",INDEX('대기측정 분석결과서'!$M$23:$M$74,MATCH(B36,항목,0)))</f>
        <v/>
      </c>
      <c r="T36" s="1487"/>
    </row>
    <row r="37" spans="1:29" ht="21.95" customHeight="1">
      <c r="A37" s="1568"/>
      <c r="B37" s="1469"/>
      <c r="C37" s="1469"/>
      <c r="D37" s="1469"/>
      <c r="E37" s="1470"/>
      <c r="F37" s="1471" t="str">
        <f t="shared" si="1"/>
        <v/>
      </c>
      <c r="G37" s="1472"/>
      <c r="H37" s="527" t="str">
        <f>IF(B37="","",INDEX('대기측정 분석결과서'!$AH$23:$AH$74,MATCH(B37,측정항목,0)))</f>
        <v/>
      </c>
      <c r="I37" s="1483" t="str">
        <f>IF(B37="","",
IF(INDEX('대기측정 분석결과서'!$F$23:$I$74,MATCH(B37,항목,0),1)="","값없음",
IF(ISERROR(FIXED(IF(INDEX('대기측정 분석결과서'!$F$23:$I$74,MATCH(B37,항목,0),1)&lt;INDEX('대기측정 분석결과서'!$AG$23:$AG$74,MATCH(B37,항목,0)),"불검출",
INDEX('대기측정 분석결과서'!$F$23:$I$74,MATCH(B37,항목,0),1)),INDEX('대기측정 분석결과서'!$AI$23:$AI$74,MATCH(B37,항목,0)))),"불검출",
FIXED(INDEX('대기측정 분석결과서'!$F$23:$I$74,MATCH(B37,항목,0),1),INDEX('대기측정 분석결과서'!$AI$23:$AI$74,MATCH(B37,항목,0))))))</f>
        <v/>
      </c>
      <c r="J37" s="1484"/>
      <c r="K37" s="1485"/>
      <c r="L37" s="1471" t="str">
        <f>IF(B37="","",
   IF(INDEX(Sheet1!$E$6:$F$51,MATCH(B37,Sheet1!$E$6:$E$51,0),2)="수은",
      '한종_시료채취기록지 '!$AG$20,
   IF(INDEX(Sheet1!$E$6:$F$51,MATCH(B37,Sheet1!$E$6:$E$51,0),2)="먼지",
      '한종_시료채취기록지 '!$Y$20,
   IF(INDEX(Sheet1!$E$6:$F$51,MATCH(B37,Sheet1!$E$6:$E$51,0),2)="THC",
      '한종_시료채취기록지 '!$AC$23,
   IF(INDEX(Sheet1!$E$6:$F$51,MATCH(B37,Sheet1!$E$6:$E$51,0),2)="매연",
      '한종_시료채취기록지 '!$AG$23,
   IF(INDEX(Sheet1!$E$6:$F$51,MATCH(B37,Sheet1!$E$6:$E$51,0),2)="옵티마",
      '한종_시료채취기록지 '!$Y$23,
   IF(INDEX(Sheet1!$E$6:$F$51,MATCH(B37,Sheet1!$E$6:$E$51,0),2)="중금속",
      '한종_시료채취기록지 '!$AC$20,
   IF(INDEX(Sheet1!$E$6:$F$51,MATCH(B37,Sheet1!$E$6:$E$51,0),2)="T",
    IFERROR(
         INDEX(가스상항목시간,MATCH("VOCs-T",가스상항목,0),5),
         INDEX(가스상항목시간,MATCH("VOCs-A",가스상항목,0),5)
      ),
   IF(INDEX(Sheet1!$E$6:$F$51,MATCH(B37,Sheet1!$E$6:$E$51,0),2)="A",
         INDEX(가스상항목시간,MATCH("VOCs-A",가스상항목,0),5),
   IF(INDEX(Sheet1!$E$6:$F$51,MATCH(B37,Sheet1!$E$6:$E$51,0),2)="DNPH",
      INDEX(가스상항목시간,MATCH("VOCs",가스상항목,0),5),
      INDEX(가스상항목시간,MATCH(B37,가스상항목,0),5)
   ))))))))))</f>
        <v/>
      </c>
      <c r="M37" s="1472"/>
      <c r="N37" s="1475"/>
      <c r="O37" s="1471" t="str">
        <f>IF(B37="","",INDEX('대기측정 분석결과서'!$Z$23:$Z$74,MATCH(B37,항목,0)))</f>
        <v/>
      </c>
      <c r="P37" s="1472"/>
      <c r="Q37" s="1472"/>
      <c r="R37" s="1475"/>
      <c r="S37" s="1486" t="str">
        <f>IF(B37="","",INDEX('대기측정 분석결과서'!$M$23:$M$74,MATCH(B37,항목,0)))</f>
        <v/>
      </c>
      <c r="T37" s="1487"/>
    </row>
    <row r="38" spans="1:29" ht="21.95" customHeight="1">
      <c r="A38" s="1568"/>
      <c r="B38" s="1469"/>
      <c r="C38" s="1469"/>
      <c r="D38" s="1469"/>
      <c r="E38" s="1470"/>
      <c r="F38" s="1471" t="str">
        <f t="shared" si="1"/>
        <v/>
      </c>
      <c r="G38" s="1472"/>
      <c r="H38" s="527" t="str">
        <f>IF(B38="","",INDEX('대기측정 분석결과서'!$AH$23:$AH$74,MATCH(B38,측정항목,0)))</f>
        <v/>
      </c>
      <c r="I38" s="1483" t="str">
        <f>IF(B38="","",
IF(INDEX('대기측정 분석결과서'!$F$23:$I$74,MATCH(B38,항목,0),1)="","값없음",
IF(ISERROR(FIXED(IF(INDEX('대기측정 분석결과서'!$F$23:$I$74,MATCH(B38,항목,0),1)&lt;INDEX('대기측정 분석결과서'!$AG$23:$AG$74,MATCH(B38,항목,0)),"불검출",
INDEX('대기측정 분석결과서'!$F$23:$I$74,MATCH(B38,항목,0),1)),INDEX('대기측정 분석결과서'!$AI$23:$AI$74,MATCH(B38,항목,0)))),"불검출",
FIXED(INDEX('대기측정 분석결과서'!$F$23:$I$74,MATCH(B38,항목,0),1),INDEX('대기측정 분석결과서'!$AI$23:$AI$74,MATCH(B38,항목,0))))))</f>
        <v/>
      </c>
      <c r="J38" s="1484"/>
      <c r="K38" s="1485"/>
      <c r="L38" s="1471" t="str">
        <f>IF(B38="","",
   IF(INDEX(Sheet1!$E$6:$F$51,MATCH(B38,Sheet1!$E$6:$E$51,0),2)="수은",
      '한종_시료채취기록지 '!$AG$20,
   IF(INDEX(Sheet1!$E$6:$F$51,MATCH(B38,Sheet1!$E$6:$E$51,0),2)="먼지",
      '한종_시료채취기록지 '!$Y$20,
   IF(INDEX(Sheet1!$E$6:$F$51,MATCH(B38,Sheet1!$E$6:$E$51,0),2)="THC",
      '한종_시료채취기록지 '!$AC$23,
   IF(INDEX(Sheet1!$E$6:$F$51,MATCH(B38,Sheet1!$E$6:$E$51,0),2)="매연",
      '한종_시료채취기록지 '!$AG$23,
   IF(INDEX(Sheet1!$E$6:$F$51,MATCH(B38,Sheet1!$E$6:$E$51,0),2)="옵티마",
      '한종_시료채취기록지 '!$Y$23,
   IF(INDEX(Sheet1!$E$6:$F$51,MATCH(B38,Sheet1!$E$6:$E$51,0),2)="중금속",
      '한종_시료채취기록지 '!$AC$20,
   IF(INDEX(Sheet1!$E$6:$F$51,MATCH(B38,Sheet1!$E$6:$E$51,0),2)="T",
    IFERROR(
         INDEX(가스상항목시간,MATCH("VOCs-T",가스상항목,0),5),
         INDEX(가스상항목시간,MATCH("VOCs-A",가스상항목,0),5)
      ),
   IF(INDEX(Sheet1!$E$6:$F$51,MATCH(B38,Sheet1!$E$6:$E$51,0),2)="A",
         INDEX(가스상항목시간,MATCH("VOCs-A",가스상항목,0),5),
   IF(INDEX(Sheet1!$E$6:$F$51,MATCH(B38,Sheet1!$E$6:$E$51,0),2)="DNPH",
      INDEX(가스상항목시간,MATCH("VOCs",가스상항목,0),5),
      INDEX(가스상항목시간,MATCH(B38,가스상항목,0),5)
   ))))))))))</f>
        <v/>
      </c>
      <c r="M38" s="1472"/>
      <c r="N38" s="1475"/>
      <c r="O38" s="1471" t="str">
        <f>IF(B38="","",INDEX('대기측정 분석결과서'!$Z$23:$Z$74,MATCH(B38,항목,0)))</f>
        <v/>
      </c>
      <c r="P38" s="1472"/>
      <c r="Q38" s="1472"/>
      <c r="R38" s="1475"/>
      <c r="S38" s="1486" t="str">
        <f>IF(B38="","",INDEX('대기측정 분석결과서'!$M$23:$M$74,MATCH(B38,항목,0)))</f>
        <v/>
      </c>
      <c r="T38" s="1487"/>
      <c r="X38" s="1585"/>
      <c r="Y38" s="1585"/>
      <c r="Z38" s="1585"/>
      <c r="AA38" s="1586"/>
      <c r="AB38" s="1585"/>
      <c r="AC38" s="1585"/>
    </row>
    <row r="39" spans="1:29" ht="21.95" customHeight="1">
      <c r="A39" s="1568"/>
      <c r="B39" s="1591"/>
      <c r="C39" s="1592"/>
      <c r="D39" s="1592"/>
      <c r="E39" s="1593"/>
      <c r="F39" s="1458" t="str">
        <f t="shared" si="1"/>
        <v/>
      </c>
      <c r="G39" s="1459"/>
      <c r="H39" s="527" t="str">
        <f>IF(B39="","",INDEX('대기측정 분석결과서'!$AH$23:$AH$74,MATCH(B39,측정항목,0)))</f>
        <v/>
      </c>
      <c r="I39" s="1483" t="str">
        <f>IF(B39="","",
IF(INDEX('대기측정 분석결과서'!$F$23:$I$74,MATCH(B39,항목,0),1)="","값없음",
IF(ISERROR(FIXED(IF(INDEX('대기측정 분석결과서'!$F$23:$I$74,MATCH(B39,항목,0),1)&lt;INDEX('대기측정 분석결과서'!$AG$23:$AG$74,MATCH(B39,항목,0)),"불검출",
INDEX('대기측정 분석결과서'!$F$23:$I$74,MATCH(B39,항목,0),1)),INDEX('대기측정 분석결과서'!$AI$23:$AI$74,MATCH(B39,항목,0)))),"불검출",
FIXED(INDEX('대기측정 분석결과서'!$F$23:$I$74,MATCH(B39,항목,0),1),INDEX('대기측정 분석결과서'!$AI$23:$AI$74,MATCH(B39,항목,0))))))</f>
        <v/>
      </c>
      <c r="J39" s="1484"/>
      <c r="K39" s="1485"/>
      <c r="L39" s="1471" t="str">
        <f>IF(B39="","",
   IF(INDEX(Sheet1!$E$6:$F$51,MATCH(B39,Sheet1!$E$6:$E$51,0),2)="수은",
      '한종_시료채취기록지 '!$AG$20,
   IF(INDEX(Sheet1!$E$6:$F$51,MATCH(B39,Sheet1!$E$6:$E$51,0),2)="먼지",
      '한종_시료채취기록지 '!$Y$20,
   IF(INDEX(Sheet1!$E$6:$F$51,MATCH(B39,Sheet1!$E$6:$E$51,0),2)="THC",
      '한종_시료채취기록지 '!$AC$23,
   IF(INDEX(Sheet1!$E$6:$F$51,MATCH(B39,Sheet1!$E$6:$E$51,0),2)="매연",
      '한종_시료채취기록지 '!$AG$23,
   IF(INDEX(Sheet1!$E$6:$F$51,MATCH(B39,Sheet1!$E$6:$E$51,0),2)="옵티마",
      '한종_시료채취기록지 '!$Y$23,
   IF(INDEX(Sheet1!$E$6:$F$51,MATCH(B39,Sheet1!$E$6:$E$51,0),2)="중금속",
      '한종_시료채취기록지 '!$AC$20,
   IF(INDEX(Sheet1!$E$6:$F$51,MATCH(B39,Sheet1!$E$6:$E$51,0),2)="T",
    IFERROR(
         INDEX(가스상항목시간,MATCH("VOCs-T",가스상항목,0),5),
         INDEX(가스상항목시간,MATCH("VOCs-A",가스상항목,0),5)
      ),
   IF(INDEX(Sheet1!$E$6:$F$51,MATCH(B39,Sheet1!$E$6:$E$51,0),2)="A",
         INDEX(가스상항목시간,MATCH("VOCs-A",가스상항목,0),5),
   IF(INDEX(Sheet1!$E$6:$F$51,MATCH(B39,Sheet1!$E$6:$E$51,0),2)="DNPH",
      INDEX(가스상항목시간,MATCH("VOCs",가스상항목,0),5),
      INDEX(가스상항목시간,MATCH(B39,가스상항목,0),5)
   ))))))))))</f>
        <v/>
      </c>
      <c r="M39" s="1472"/>
      <c r="N39" s="1475"/>
      <c r="O39" s="1471" t="str">
        <f>IF(B39="","",INDEX('대기측정 분석결과서'!$Z$23:$Z$74,MATCH(B39,항목,0)))</f>
        <v/>
      </c>
      <c r="P39" s="1472"/>
      <c r="Q39" s="1472"/>
      <c r="R39" s="1475"/>
      <c r="S39" s="1486" t="str">
        <f>IF(B39="","",INDEX('대기측정 분석결과서'!$M$23:$M$74,MATCH(B39,항목,0)))</f>
        <v/>
      </c>
      <c r="T39" s="1487"/>
      <c r="X39" s="1600"/>
      <c r="Y39" s="1601"/>
      <c r="Z39" s="1602"/>
      <c r="AA39" s="1603"/>
      <c r="AB39" s="1604"/>
      <c r="AC39" s="1605"/>
    </row>
    <row r="40" spans="1:29" ht="21.95" customHeight="1" thickBot="1">
      <c r="A40" s="1599"/>
      <c r="B40" s="1594"/>
      <c r="C40" s="1595"/>
      <c r="D40" s="1595"/>
      <c r="E40" s="1596"/>
      <c r="F40" s="1597" t="str">
        <f t="shared" si="1"/>
        <v/>
      </c>
      <c r="G40" s="1598"/>
      <c r="H40" s="527" t="str">
        <f>IF(B40="","",INDEX('대기측정 분석결과서'!$AH$23:$AH$74,MATCH(B40,측정항목,0)))</f>
        <v/>
      </c>
      <c r="I40" s="1483" t="str">
        <f>IF(B40="","",
IF(INDEX('대기측정 분석결과서'!$F$23:$I$74,MATCH(B40,항목,0),1)="","값없음",
IF(ISERROR(FIXED(IF(INDEX('대기측정 분석결과서'!$F$23:$I$74,MATCH(B40,항목,0),1)&lt;INDEX('대기측정 분석결과서'!$AG$23:$AG$74,MATCH(B40,항목,0)),"불검출",
INDEX('대기측정 분석결과서'!$F$23:$I$74,MATCH(B40,항목,0),1)),INDEX('대기측정 분석결과서'!$AI$23:$AI$74,MATCH(B40,항목,0)))),"불검출",
FIXED(INDEX('대기측정 분석결과서'!$F$23:$I$74,MATCH(B40,항목,0),1),INDEX('대기측정 분석결과서'!$AI$23:$AI$74,MATCH(B40,항목,0))))))</f>
        <v/>
      </c>
      <c r="J40" s="1484"/>
      <c r="K40" s="1485"/>
      <c r="L40" s="1471" t="str">
        <f>IF(B40="","",
   IF(INDEX(Sheet1!$E$6:$F$51,MATCH(B40,Sheet1!$E$6:$E$51,0),2)="수은",
      '한종_시료채취기록지 '!$AG$20,
   IF(INDEX(Sheet1!$E$6:$F$51,MATCH(B40,Sheet1!$E$6:$E$51,0),2)="먼지",
      '한종_시료채취기록지 '!$Y$20,
   IF(INDEX(Sheet1!$E$6:$F$51,MATCH(B40,Sheet1!$E$6:$E$51,0),2)="THC",
      '한종_시료채취기록지 '!$AC$23,
   IF(INDEX(Sheet1!$E$6:$F$51,MATCH(B40,Sheet1!$E$6:$E$51,0),2)="매연",
      '한종_시료채취기록지 '!$AG$23,
   IF(INDEX(Sheet1!$E$6:$F$51,MATCH(B40,Sheet1!$E$6:$E$51,0),2)="옵티마",
      '한종_시료채취기록지 '!$Y$23,
   IF(INDEX(Sheet1!$E$6:$F$51,MATCH(B40,Sheet1!$E$6:$E$51,0),2)="중금속",
      '한종_시료채취기록지 '!$AC$20,
   IF(INDEX(Sheet1!$E$6:$F$51,MATCH(B40,Sheet1!$E$6:$E$51,0),2)="T",
    IFERROR(
         INDEX(가스상항목시간,MATCH("VOCs-T",가스상항목,0),5),
         INDEX(가스상항목시간,MATCH("VOCs-A",가스상항목,0),5)
      ),
   IF(INDEX(Sheet1!$E$6:$F$51,MATCH(B40,Sheet1!$E$6:$E$51,0),2)="A",
         INDEX(가스상항목시간,MATCH("VOCs-A",가스상항목,0),5),
   IF(INDEX(Sheet1!$E$6:$F$51,MATCH(B40,Sheet1!$E$6:$E$51,0),2)="DNPH",
      INDEX(가스상항목시간,MATCH("VOCs",가스상항목,0),5),
      INDEX(가스상항목시간,MATCH(B40,가스상항목,0),5)
   ))))))))))</f>
        <v/>
      </c>
      <c r="M40" s="1472"/>
      <c r="N40" s="1475"/>
      <c r="O40" s="1471" t="str">
        <f>IF(B40="","",INDEX('대기측정 분석결과서'!$Z$23:$Z$74,MATCH(B40,항목,0)))</f>
        <v/>
      </c>
      <c r="P40" s="1472"/>
      <c r="Q40" s="1472"/>
      <c r="R40" s="1475"/>
      <c r="S40" s="1486" t="str">
        <f>IF(B40="","",INDEX('대기측정 분석결과서'!$M$23:$M$74,MATCH(B40,항목,0)))</f>
        <v/>
      </c>
      <c r="T40" s="1487"/>
    </row>
    <row r="41" spans="1:29" ht="18" customHeight="1">
      <c r="A41" s="776"/>
      <c r="B41" s="777"/>
      <c r="C41" s="777"/>
      <c r="D41" s="777"/>
      <c r="E41" s="777"/>
      <c r="F41" s="778"/>
      <c r="G41" s="778"/>
      <c r="H41" s="779"/>
      <c r="I41" s="780"/>
      <c r="J41" s="780"/>
      <c r="K41" s="780"/>
      <c r="L41" s="778"/>
      <c r="M41" s="778"/>
      <c r="N41" s="778"/>
      <c r="O41" s="778"/>
      <c r="P41" s="778"/>
      <c r="Q41" s="778"/>
      <c r="R41" s="778"/>
      <c r="S41" s="781"/>
      <c r="T41" s="781"/>
    </row>
    <row r="42" spans="1:29" ht="18" customHeight="1" thickBot="1">
      <c r="A42" s="1525" t="s">
        <v>563</v>
      </c>
      <c r="B42" s="1525"/>
      <c r="C42" s="1525"/>
      <c r="D42" s="1525"/>
      <c r="E42" s="1525"/>
      <c r="F42" s="401"/>
      <c r="G42" s="401"/>
      <c r="H42" s="401"/>
      <c r="I42" s="401"/>
      <c r="J42" s="401"/>
      <c r="K42" s="401"/>
      <c r="L42" s="401"/>
      <c r="M42" s="401"/>
      <c r="N42" s="401"/>
      <c r="O42" s="401"/>
      <c r="P42" s="401"/>
      <c r="Q42" s="401"/>
      <c r="R42" s="401"/>
      <c r="S42" s="401"/>
      <c r="T42" s="922" t="str">
        <f>"접수번호 : KGAR-"&amp;RIGHT(YEAR('먼지측정 사전 Data'!N6),2)&amp;"-"&amp;'먼지측정 사전 Data'!O4</f>
        <v>접수번호 : KGAR-26-</v>
      </c>
    </row>
    <row r="43" spans="1:29" ht="40.5" customHeight="1">
      <c r="A43" s="1526" t="s">
        <v>488</v>
      </c>
      <c r="B43" s="1527"/>
      <c r="C43" s="1527"/>
      <c r="D43" s="1527"/>
      <c r="E43" s="1527"/>
      <c r="F43" s="1527"/>
      <c r="G43" s="1527"/>
      <c r="H43" s="1527"/>
      <c r="I43" s="1527"/>
      <c r="J43" s="1527"/>
      <c r="K43" s="1527"/>
      <c r="L43" s="1527"/>
      <c r="M43" s="1527"/>
      <c r="N43" s="1527"/>
      <c r="O43" s="1527"/>
      <c r="P43" s="1527"/>
      <c r="Q43" s="1527"/>
      <c r="R43" s="1527"/>
      <c r="S43" s="1527"/>
      <c r="T43" s="1528"/>
    </row>
    <row r="44" spans="1:29" ht="12" customHeight="1">
      <c r="A44" s="1567" t="s">
        <v>1182</v>
      </c>
      <c r="B44" s="1460" t="s">
        <v>353</v>
      </c>
      <c r="C44" s="1473"/>
      <c r="D44" s="1473"/>
      <c r="E44" s="1473"/>
      <c r="F44" s="1473" t="s">
        <v>589</v>
      </c>
      <c r="G44" s="1473"/>
      <c r="H44" s="1473"/>
      <c r="I44" s="1473" t="s">
        <v>354</v>
      </c>
      <c r="J44" s="1473"/>
      <c r="K44" s="1473"/>
      <c r="L44" s="1491" t="s">
        <v>1150</v>
      </c>
      <c r="M44" s="1492"/>
      <c r="N44" s="1493"/>
      <c r="O44" s="1497" t="s">
        <v>504</v>
      </c>
      <c r="P44" s="1498"/>
      <c r="Q44" s="1498"/>
      <c r="R44" s="1499"/>
      <c r="S44" s="1531" t="s">
        <v>355</v>
      </c>
      <c r="T44" s="1516"/>
    </row>
    <row r="45" spans="1:29" ht="12" customHeight="1">
      <c r="A45" s="1568"/>
      <c r="B45" s="1460"/>
      <c r="C45" s="1473"/>
      <c r="D45" s="1473"/>
      <c r="E45" s="1473"/>
      <c r="F45" s="1473"/>
      <c r="G45" s="1473"/>
      <c r="H45" s="1473"/>
      <c r="I45" s="1473"/>
      <c r="J45" s="1473"/>
      <c r="K45" s="1473"/>
      <c r="L45" s="1494"/>
      <c r="M45" s="1495"/>
      <c r="N45" s="1496"/>
      <c r="O45" s="1497"/>
      <c r="P45" s="1498"/>
      <c r="Q45" s="1498"/>
      <c r="R45" s="1499"/>
      <c r="S45" s="1533"/>
      <c r="T45" s="1518"/>
    </row>
    <row r="46" spans="1:29" ht="21.95" customHeight="1">
      <c r="A46" s="1568"/>
      <c r="B46" s="1469"/>
      <c r="C46" s="1469"/>
      <c r="D46" s="1469"/>
      <c r="E46" s="1470"/>
      <c r="F46" s="1471" t="str">
        <f t="shared" ref="F46:F70" si="2">IF(B46="","","??")</f>
        <v/>
      </c>
      <c r="G46" s="1472"/>
      <c r="H46" s="527" t="str">
        <f>IF(B46="","",INDEX('대기측정 분석결과서'!$AH$23:$AH$74,MATCH(B46,측정항목,0)))</f>
        <v/>
      </c>
      <c r="I46" s="1483" t="str">
        <f>IF(B46="","",
IF(INDEX('대기측정 분석결과서'!$F$23:$I$74,MATCH(B46,항목,0),1)="","값없음",
IF(ISERROR(FIXED(IF(INDEX('대기측정 분석결과서'!$F$23:$I$74,MATCH(B46,항목,0),1)&lt;INDEX('대기측정 분석결과서'!$AG$23:$AG$74,MATCH(B46,항목,0)),"불검출",
INDEX('대기측정 분석결과서'!$F$23:$I$74,MATCH(B46,항목,0),1)),INDEX('대기측정 분석결과서'!$AI$23:$AI$74,MATCH(B46,항목,0)))),"불검출",
FIXED(INDEX('대기측정 분석결과서'!$F$23:$I$74,MATCH(B46,항목,0),1),INDEX('대기측정 분석결과서'!$AI$23:$AI$74,MATCH(B46,항목,0))))))</f>
        <v/>
      </c>
      <c r="J46" s="1484"/>
      <c r="K46" s="1485"/>
      <c r="L46" s="1471" t="str">
        <f>IF(B46="","",
   IF(INDEX(Sheet1!$E$6:$F$51,MATCH(B46,Sheet1!$E$6:$E$51,0),2)="수은",
      '한종_시료채취기록지 '!$AG$20,
   IF(INDEX(Sheet1!$E$6:$F$51,MATCH(B46,Sheet1!$E$6:$E$51,0),2)="먼지",
      '한종_시료채취기록지 '!$Y$20,
   IF(INDEX(Sheet1!$E$6:$F$51,MATCH(B46,Sheet1!$E$6:$E$51,0),2)="THC",
      '한종_시료채취기록지 '!$AC$23,
   IF(INDEX(Sheet1!$E$6:$F$51,MATCH(B46,Sheet1!$E$6:$E$51,0),2)="매연",
      '한종_시료채취기록지 '!$AG$23,
   IF(INDEX(Sheet1!$E$6:$F$51,MATCH(B46,Sheet1!$E$6:$E$51,0),2)="옵티마",
      '한종_시료채취기록지 '!$Y$23,
   IF(INDEX(Sheet1!$E$6:$F$51,MATCH(B46,Sheet1!$E$6:$E$51,0),2)="중금속",
      '한종_시료채취기록지 '!$AC$20,
   IF(INDEX(Sheet1!$E$6:$F$51,MATCH(B46,Sheet1!$E$6:$E$51,0),2)="T",
    IFERROR(
         INDEX(가스상항목시간,MATCH("VOCs-T",가스상항목,0),5),
         INDEX(가스상항목시간,MATCH("VOCs-A",가스상항목,0),5)
      ),
   IF(INDEX(Sheet1!$E$6:$F$51,MATCH(B46,Sheet1!$E$6:$E$51,0),2)="A",
         INDEX(가스상항목시간,MATCH("VOCs-A",가스상항목,0),5),
   IF(INDEX(Sheet1!$E$6:$F$51,MATCH(B46,Sheet1!$E$6:$E$51,0),2)="DNPH",
      INDEX(가스상항목시간,MATCH("VOCs",가스상항목,0),5),
      INDEX(가스상항목시간,MATCH(B46,가스상항목,0),5)
   ))))))))))</f>
        <v/>
      </c>
      <c r="M46" s="1472"/>
      <c r="N46" s="1475"/>
      <c r="O46" s="1471" t="str">
        <f>IF(B46="","",INDEX('대기측정 분석결과서'!$Z$23:$Z$74,MATCH(B46,항목,0)))</f>
        <v/>
      </c>
      <c r="P46" s="1472"/>
      <c r="Q46" s="1472"/>
      <c r="R46" s="1475"/>
      <c r="S46" s="1486" t="str">
        <f>IF(B46="","",INDEX('대기측정 분석결과서'!$M$23:$M$74,MATCH(B46,항목,0)))</f>
        <v/>
      </c>
      <c r="T46" s="1487"/>
    </row>
    <row r="47" spans="1:29" ht="21.95" customHeight="1">
      <c r="A47" s="1568"/>
      <c r="B47" s="1469"/>
      <c r="C47" s="1469"/>
      <c r="D47" s="1469"/>
      <c r="E47" s="1470"/>
      <c r="F47" s="1471" t="str">
        <f t="shared" si="2"/>
        <v/>
      </c>
      <c r="G47" s="1472"/>
      <c r="H47" s="527" t="str">
        <f>IF(B47="","",INDEX('대기측정 분석결과서'!$AH$23:$AH$74,MATCH(B47,측정항목,0)))</f>
        <v/>
      </c>
      <c r="I47" s="1483" t="str">
        <f>IF(B47="","",
IF(INDEX('대기측정 분석결과서'!$F$23:$I$74,MATCH(B47,항목,0),1)="","값없음",
IF(ISERROR(FIXED(IF(INDEX('대기측정 분석결과서'!$F$23:$I$74,MATCH(B47,항목,0),1)&lt;INDEX('대기측정 분석결과서'!$AG$23:$AG$74,MATCH(B47,항목,0)),"불검출",
INDEX('대기측정 분석결과서'!$F$23:$I$74,MATCH(B47,항목,0),1)),INDEX('대기측정 분석결과서'!$AI$23:$AI$74,MATCH(B47,항목,0)))),"불검출",
FIXED(INDEX('대기측정 분석결과서'!$F$23:$I$74,MATCH(B47,항목,0),1),INDEX('대기측정 분석결과서'!$AI$23:$AI$74,MATCH(B47,항목,0))))))</f>
        <v/>
      </c>
      <c r="J47" s="1484"/>
      <c r="K47" s="1485"/>
      <c r="L47" s="1471" t="str">
        <f>IF(B47="","",
   IF(INDEX(Sheet1!$E$6:$F$51,MATCH(B47,Sheet1!$E$6:$E$51,0),2)="수은",
      '한종_시료채취기록지 '!$AG$20,
   IF(INDEX(Sheet1!$E$6:$F$51,MATCH(B47,Sheet1!$E$6:$E$51,0),2)="먼지",
      '한종_시료채취기록지 '!$Y$20,
   IF(INDEX(Sheet1!$E$6:$F$51,MATCH(B47,Sheet1!$E$6:$E$51,0),2)="THC",
      '한종_시료채취기록지 '!$AC$23,
   IF(INDEX(Sheet1!$E$6:$F$51,MATCH(B47,Sheet1!$E$6:$E$51,0),2)="매연",
      '한종_시료채취기록지 '!$AG$23,
   IF(INDEX(Sheet1!$E$6:$F$51,MATCH(B47,Sheet1!$E$6:$E$51,0),2)="옵티마",
      '한종_시료채취기록지 '!$Y$23,
   IF(INDEX(Sheet1!$E$6:$F$51,MATCH(B47,Sheet1!$E$6:$E$51,0),2)="중금속",
      '한종_시료채취기록지 '!$AC$20,
   IF(INDEX(Sheet1!$E$6:$F$51,MATCH(B47,Sheet1!$E$6:$E$51,0),2)="T",
    IFERROR(
         INDEX(가스상항목시간,MATCH("VOCs-T",가스상항목,0),5),
         INDEX(가스상항목시간,MATCH("VOCs-A",가스상항목,0),5)
      ),
   IF(INDEX(Sheet1!$E$6:$F$51,MATCH(B47,Sheet1!$E$6:$E$51,0),2)="A",
         INDEX(가스상항목시간,MATCH("VOCs-A",가스상항목,0),5),
   IF(INDEX(Sheet1!$E$6:$F$51,MATCH(B47,Sheet1!$E$6:$E$51,0),2)="DNPH",
      INDEX(가스상항목시간,MATCH("VOCs",가스상항목,0),5),
      INDEX(가스상항목시간,MATCH(B47,가스상항목,0),5)
   ))))))))))</f>
        <v/>
      </c>
      <c r="M47" s="1472"/>
      <c r="N47" s="1475"/>
      <c r="O47" s="1471" t="str">
        <f>IF(B47="","",INDEX('대기측정 분석결과서'!$Z$23:$Z$74,MATCH(B47,항목,0)))</f>
        <v/>
      </c>
      <c r="P47" s="1472"/>
      <c r="Q47" s="1472"/>
      <c r="R47" s="1475"/>
      <c r="S47" s="1486" t="str">
        <f>IF(B47="","",INDEX('대기측정 분석결과서'!$M$23:$M$74,MATCH(B47,항목,0)))</f>
        <v/>
      </c>
      <c r="T47" s="1487"/>
    </row>
    <row r="48" spans="1:29" ht="21.95" customHeight="1">
      <c r="A48" s="1568"/>
      <c r="B48" s="1469"/>
      <c r="C48" s="1469"/>
      <c r="D48" s="1469"/>
      <c r="E48" s="1470"/>
      <c r="F48" s="1471" t="str">
        <f t="shared" si="2"/>
        <v/>
      </c>
      <c r="G48" s="1472"/>
      <c r="H48" s="527" t="str">
        <f>IF(B48="","",INDEX('대기측정 분석결과서'!$AH$23:$AH$74,MATCH(B48,측정항목,0)))</f>
        <v/>
      </c>
      <c r="I48" s="1483" t="str">
        <f>IF(B48="","",
IF(INDEX('대기측정 분석결과서'!$F$23:$I$74,MATCH(B48,항목,0),1)="","값없음",
IF(ISERROR(FIXED(IF(INDEX('대기측정 분석결과서'!$F$23:$I$74,MATCH(B48,항목,0),1)&lt;INDEX('대기측정 분석결과서'!$AG$23:$AG$74,MATCH(B48,항목,0)),"불검출",
INDEX('대기측정 분석결과서'!$F$23:$I$74,MATCH(B48,항목,0),1)),INDEX('대기측정 분석결과서'!$AI$23:$AI$74,MATCH(B48,항목,0)))),"불검출",
FIXED(INDEX('대기측정 분석결과서'!$F$23:$I$74,MATCH(B48,항목,0),1),INDEX('대기측정 분석결과서'!$AI$23:$AI$74,MATCH(B48,항목,0))))))</f>
        <v/>
      </c>
      <c r="J48" s="1484"/>
      <c r="K48" s="1485"/>
      <c r="L48" s="1471" t="str">
        <f>IF(B48="","",
   IF(INDEX(Sheet1!$E$6:$F$51,MATCH(B48,Sheet1!$E$6:$E$51,0),2)="수은",
      '한종_시료채취기록지 '!$AG$20,
   IF(INDEX(Sheet1!$E$6:$F$51,MATCH(B48,Sheet1!$E$6:$E$51,0),2)="먼지",
      '한종_시료채취기록지 '!$Y$20,
   IF(INDEX(Sheet1!$E$6:$F$51,MATCH(B48,Sheet1!$E$6:$E$51,0),2)="THC",
      '한종_시료채취기록지 '!$AC$23,
   IF(INDEX(Sheet1!$E$6:$F$51,MATCH(B48,Sheet1!$E$6:$E$51,0),2)="매연",
      '한종_시료채취기록지 '!$AG$23,
   IF(INDEX(Sheet1!$E$6:$F$51,MATCH(B48,Sheet1!$E$6:$E$51,0),2)="옵티마",
      '한종_시료채취기록지 '!$Y$23,
   IF(INDEX(Sheet1!$E$6:$F$51,MATCH(B48,Sheet1!$E$6:$E$51,0),2)="중금속",
      '한종_시료채취기록지 '!$AC$20,
   IF(INDEX(Sheet1!$E$6:$F$51,MATCH(B48,Sheet1!$E$6:$E$51,0),2)="T",
    IFERROR(
         INDEX(가스상항목시간,MATCH("VOCs-T",가스상항목,0),5),
         INDEX(가스상항목시간,MATCH("VOCs-A",가스상항목,0),5)
      ),
   IF(INDEX(Sheet1!$E$6:$F$51,MATCH(B48,Sheet1!$E$6:$E$51,0),2)="A",
         INDEX(가스상항목시간,MATCH("VOCs-A",가스상항목,0),5),
   IF(INDEX(Sheet1!$E$6:$F$51,MATCH(B48,Sheet1!$E$6:$E$51,0),2)="DNPH",
      INDEX(가스상항목시간,MATCH("VOCs",가스상항목,0),5),
      INDEX(가스상항목시간,MATCH(B48,가스상항목,0),5)
   ))))))))))</f>
        <v/>
      </c>
      <c r="M48" s="1472"/>
      <c r="N48" s="1475"/>
      <c r="O48" s="1471" t="str">
        <f>IF(B48="","",INDEX('대기측정 분석결과서'!$Z$23:$Z$74,MATCH(B48,항목,0)))</f>
        <v/>
      </c>
      <c r="P48" s="1472"/>
      <c r="Q48" s="1472"/>
      <c r="R48" s="1475"/>
      <c r="S48" s="1486" t="str">
        <f>IF(B48="","",INDEX('대기측정 분석결과서'!$M$23:$M$74,MATCH(B48,항목,0)))</f>
        <v/>
      </c>
      <c r="T48" s="1487"/>
    </row>
    <row r="49" spans="1:20" ht="21.95" customHeight="1">
      <c r="A49" s="1568"/>
      <c r="B49" s="1469"/>
      <c r="C49" s="1469"/>
      <c r="D49" s="1469"/>
      <c r="E49" s="1470"/>
      <c r="F49" s="1471" t="str">
        <f t="shared" si="2"/>
        <v/>
      </c>
      <c r="G49" s="1472"/>
      <c r="H49" s="527" t="str">
        <f>IF(B49="","",INDEX('대기측정 분석결과서'!$AH$23:$AH$74,MATCH(B49,측정항목,0)))</f>
        <v/>
      </c>
      <c r="I49" s="1483" t="str">
        <f>IF(B49="","",
IF(INDEX('대기측정 분석결과서'!$F$23:$I$74,MATCH(B49,항목,0),1)="","값없음",
IF(ISERROR(FIXED(IF(INDEX('대기측정 분석결과서'!$F$23:$I$74,MATCH(B49,항목,0),1)&lt;INDEX('대기측정 분석결과서'!$AG$23:$AG$74,MATCH(B49,항목,0)),"불검출",
INDEX('대기측정 분석결과서'!$F$23:$I$74,MATCH(B49,항목,0),1)),INDEX('대기측정 분석결과서'!$AI$23:$AI$74,MATCH(B49,항목,0)))),"불검출",
FIXED(INDEX('대기측정 분석결과서'!$F$23:$I$74,MATCH(B49,항목,0),1),INDEX('대기측정 분석결과서'!$AI$23:$AI$74,MATCH(B49,항목,0))))))</f>
        <v/>
      </c>
      <c r="J49" s="1484"/>
      <c r="K49" s="1485"/>
      <c r="L49" s="1471" t="str">
        <f>IF(B49="","",
   IF(INDEX(Sheet1!$E$6:$F$51,MATCH(B49,Sheet1!$E$6:$E$51,0),2)="수은",
      '한종_시료채취기록지 '!$AG$20,
   IF(INDEX(Sheet1!$E$6:$F$51,MATCH(B49,Sheet1!$E$6:$E$51,0),2)="먼지",
      '한종_시료채취기록지 '!$Y$20,
   IF(INDEX(Sheet1!$E$6:$F$51,MATCH(B49,Sheet1!$E$6:$E$51,0),2)="THC",
      '한종_시료채취기록지 '!$AC$23,
   IF(INDEX(Sheet1!$E$6:$F$51,MATCH(B49,Sheet1!$E$6:$E$51,0),2)="매연",
      '한종_시료채취기록지 '!$AG$23,
   IF(INDEX(Sheet1!$E$6:$F$51,MATCH(B49,Sheet1!$E$6:$E$51,0),2)="옵티마",
      '한종_시료채취기록지 '!$Y$23,
   IF(INDEX(Sheet1!$E$6:$F$51,MATCH(B49,Sheet1!$E$6:$E$51,0),2)="중금속",
      '한종_시료채취기록지 '!$AC$20,
   IF(INDEX(Sheet1!$E$6:$F$51,MATCH(B49,Sheet1!$E$6:$E$51,0),2)="T",
    IFERROR(
         INDEX(가스상항목시간,MATCH("VOCs-T",가스상항목,0),5),
         INDEX(가스상항목시간,MATCH("VOCs-A",가스상항목,0),5)
      ),
   IF(INDEX(Sheet1!$E$6:$F$51,MATCH(B49,Sheet1!$E$6:$E$51,0),2)="A",
         INDEX(가스상항목시간,MATCH("VOCs-A",가스상항목,0),5),
   IF(INDEX(Sheet1!$E$6:$F$51,MATCH(B49,Sheet1!$E$6:$E$51,0),2)="DNPH",
      INDEX(가스상항목시간,MATCH("VOCs",가스상항목,0),5),
      INDEX(가스상항목시간,MATCH(B49,가스상항목,0),5)
   ))))))))))</f>
        <v/>
      </c>
      <c r="M49" s="1472"/>
      <c r="N49" s="1475"/>
      <c r="O49" s="1471" t="str">
        <f>IF(B49="","",INDEX('대기측정 분석결과서'!$Z$23:$Z$74,MATCH(B49,항목,0)))</f>
        <v/>
      </c>
      <c r="P49" s="1472"/>
      <c r="Q49" s="1472"/>
      <c r="R49" s="1475"/>
      <c r="S49" s="1486" t="str">
        <f>IF(B49="","",INDEX('대기측정 분석결과서'!$M$23:$M$74,MATCH(B49,항목,0)))</f>
        <v/>
      </c>
      <c r="T49" s="1487"/>
    </row>
    <row r="50" spans="1:20" ht="21.95" customHeight="1">
      <c r="A50" s="1568"/>
      <c r="B50" s="1469"/>
      <c r="C50" s="1469"/>
      <c r="D50" s="1469"/>
      <c r="E50" s="1470"/>
      <c r="F50" s="1471" t="str">
        <f t="shared" si="2"/>
        <v/>
      </c>
      <c r="G50" s="1472"/>
      <c r="H50" s="527" t="str">
        <f>IF(B50="","",INDEX('대기측정 분석결과서'!$AH$23:$AH$74,MATCH(B50,측정항목,0)))</f>
        <v/>
      </c>
      <c r="I50" s="1483" t="str">
        <f>IF(B50="","",
IF(INDEX('대기측정 분석결과서'!$F$23:$I$74,MATCH(B50,항목,0),1)="","값없음",
IF(ISERROR(FIXED(IF(INDEX('대기측정 분석결과서'!$F$23:$I$74,MATCH(B50,항목,0),1)&lt;INDEX('대기측정 분석결과서'!$AG$23:$AG$74,MATCH(B50,항목,0)),"불검출",
INDEX('대기측정 분석결과서'!$F$23:$I$74,MATCH(B50,항목,0),1)),INDEX('대기측정 분석결과서'!$AI$23:$AI$74,MATCH(B50,항목,0)))),"불검출",
FIXED(INDEX('대기측정 분석결과서'!$F$23:$I$74,MATCH(B50,항목,0),1),INDEX('대기측정 분석결과서'!$AI$23:$AI$74,MATCH(B50,항목,0))))))</f>
        <v/>
      </c>
      <c r="J50" s="1484"/>
      <c r="K50" s="1485"/>
      <c r="L50" s="1471" t="str">
        <f>IF(B50="","",
   IF(INDEX(Sheet1!$E$6:$F$51,MATCH(B50,Sheet1!$E$6:$E$51,0),2)="수은",
      '한종_시료채취기록지 '!$AG$20,
   IF(INDEX(Sheet1!$E$6:$F$51,MATCH(B50,Sheet1!$E$6:$E$51,0),2)="먼지",
      '한종_시료채취기록지 '!$Y$20,
   IF(INDEX(Sheet1!$E$6:$F$51,MATCH(B50,Sheet1!$E$6:$E$51,0),2)="THC",
      '한종_시료채취기록지 '!$AC$23,
   IF(INDEX(Sheet1!$E$6:$F$51,MATCH(B50,Sheet1!$E$6:$E$51,0),2)="매연",
      '한종_시료채취기록지 '!$AG$23,
   IF(INDEX(Sheet1!$E$6:$F$51,MATCH(B50,Sheet1!$E$6:$E$51,0),2)="옵티마",
      '한종_시료채취기록지 '!$Y$23,
   IF(INDEX(Sheet1!$E$6:$F$51,MATCH(B50,Sheet1!$E$6:$E$51,0),2)="중금속",
      '한종_시료채취기록지 '!$AC$20,
   IF(INDEX(Sheet1!$E$6:$F$51,MATCH(B50,Sheet1!$E$6:$E$51,0),2)="T",
    IFERROR(
         INDEX(가스상항목시간,MATCH("VOCs-T",가스상항목,0),5),
         INDEX(가스상항목시간,MATCH("VOCs-A",가스상항목,0),5)
      ),
   IF(INDEX(Sheet1!$E$6:$F$51,MATCH(B50,Sheet1!$E$6:$E$51,0),2)="A",
         INDEX(가스상항목시간,MATCH("VOCs-A",가스상항목,0),5),
   IF(INDEX(Sheet1!$E$6:$F$51,MATCH(B50,Sheet1!$E$6:$E$51,0),2)="DNPH",
      INDEX(가스상항목시간,MATCH("VOCs",가스상항목,0),5),
      INDEX(가스상항목시간,MATCH(B50,가스상항목,0),5)
   ))))))))))</f>
        <v/>
      </c>
      <c r="M50" s="1472"/>
      <c r="N50" s="1475"/>
      <c r="O50" s="1471" t="str">
        <f>IF(B50="","",INDEX('대기측정 분석결과서'!$Z$23:$Z$74,MATCH(B50,항목,0)))</f>
        <v/>
      </c>
      <c r="P50" s="1472"/>
      <c r="Q50" s="1472"/>
      <c r="R50" s="1475"/>
      <c r="S50" s="1486" t="str">
        <f>IF(B50="","",INDEX('대기측정 분석결과서'!$M$23:$M$74,MATCH(B50,항목,0)))</f>
        <v/>
      </c>
      <c r="T50" s="1487"/>
    </row>
    <row r="51" spans="1:20" ht="21.95" customHeight="1">
      <c r="A51" s="1568"/>
      <c r="B51" s="1469"/>
      <c r="C51" s="1469"/>
      <c r="D51" s="1469"/>
      <c r="E51" s="1470"/>
      <c r="F51" s="1471" t="str">
        <f t="shared" si="2"/>
        <v/>
      </c>
      <c r="G51" s="1472"/>
      <c r="H51" s="527" t="str">
        <f>IF(B51="","",INDEX('대기측정 분석결과서'!$AH$23:$AH$74,MATCH(B51,측정항목,0)))</f>
        <v/>
      </c>
      <c r="I51" s="1483" t="str">
        <f>IF(B51="","",
IF(INDEX('대기측정 분석결과서'!$F$23:$I$74,MATCH(B51,항목,0),1)="","값없음",
IF(ISERROR(FIXED(IF(INDEX('대기측정 분석결과서'!$F$23:$I$74,MATCH(B51,항목,0),1)&lt;INDEX('대기측정 분석결과서'!$AG$23:$AG$74,MATCH(B51,항목,0)),"불검출",
INDEX('대기측정 분석결과서'!$F$23:$I$74,MATCH(B51,항목,0),1)),INDEX('대기측정 분석결과서'!$AI$23:$AI$74,MATCH(B51,항목,0)))),"불검출",
FIXED(INDEX('대기측정 분석결과서'!$F$23:$I$74,MATCH(B51,항목,0),1),INDEX('대기측정 분석결과서'!$AI$23:$AI$74,MATCH(B51,항목,0))))))</f>
        <v/>
      </c>
      <c r="J51" s="1484"/>
      <c r="K51" s="1485"/>
      <c r="L51" s="1471" t="str">
        <f>IF(B51="","",
   IF(INDEX(Sheet1!$E$6:$F$51,MATCH(B51,Sheet1!$E$6:$E$51,0),2)="수은",
      '한종_시료채취기록지 '!$AG$20,
   IF(INDEX(Sheet1!$E$6:$F$51,MATCH(B51,Sheet1!$E$6:$E$51,0),2)="먼지",
      '한종_시료채취기록지 '!$Y$20,
   IF(INDEX(Sheet1!$E$6:$F$51,MATCH(B51,Sheet1!$E$6:$E$51,0),2)="THC",
      '한종_시료채취기록지 '!$AC$23,
   IF(INDEX(Sheet1!$E$6:$F$51,MATCH(B51,Sheet1!$E$6:$E$51,0),2)="매연",
      '한종_시료채취기록지 '!$AG$23,
   IF(INDEX(Sheet1!$E$6:$F$51,MATCH(B51,Sheet1!$E$6:$E$51,0),2)="옵티마",
      '한종_시료채취기록지 '!$Y$23,
   IF(INDEX(Sheet1!$E$6:$F$51,MATCH(B51,Sheet1!$E$6:$E$51,0),2)="중금속",
      '한종_시료채취기록지 '!$AC$20,
   IF(INDEX(Sheet1!$E$6:$F$51,MATCH(B51,Sheet1!$E$6:$E$51,0),2)="T",
    IFERROR(
         INDEX(가스상항목시간,MATCH("VOCs-T",가스상항목,0),5),
         INDEX(가스상항목시간,MATCH("VOCs-A",가스상항목,0),5)
      ),
   IF(INDEX(Sheet1!$E$6:$F$51,MATCH(B51,Sheet1!$E$6:$E$51,0),2)="A",
         INDEX(가스상항목시간,MATCH("VOCs-A",가스상항목,0),5),
   IF(INDEX(Sheet1!$E$6:$F$51,MATCH(B51,Sheet1!$E$6:$E$51,0),2)="DNPH",
      INDEX(가스상항목시간,MATCH("VOCs",가스상항목,0),5),
      INDEX(가스상항목시간,MATCH(B51,가스상항목,0),5)
   ))))))))))</f>
        <v/>
      </c>
      <c r="M51" s="1472"/>
      <c r="N51" s="1475"/>
      <c r="O51" s="1471" t="str">
        <f>IF(B51="","",INDEX('대기측정 분석결과서'!$Z$23:$Z$74,MATCH(B51,항목,0)))</f>
        <v/>
      </c>
      <c r="P51" s="1472"/>
      <c r="Q51" s="1472"/>
      <c r="R51" s="1475"/>
      <c r="S51" s="1486" t="str">
        <f>IF(B51="","",INDEX('대기측정 분석결과서'!$M$23:$M$74,MATCH(B51,항목,0)))</f>
        <v/>
      </c>
      <c r="T51" s="1487"/>
    </row>
    <row r="52" spans="1:20" ht="21.95" customHeight="1">
      <c r="A52" s="1568"/>
      <c r="B52" s="1469"/>
      <c r="C52" s="1469"/>
      <c r="D52" s="1469"/>
      <c r="E52" s="1470"/>
      <c r="F52" s="1471" t="str">
        <f t="shared" si="2"/>
        <v/>
      </c>
      <c r="G52" s="1472"/>
      <c r="H52" s="527" t="str">
        <f>IF(B52="","",INDEX('대기측정 분석결과서'!$AH$23:$AH$74,MATCH(B52,측정항목,0)))</f>
        <v/>
      </c>
      <c r="I52" s="1483" t="str">
        <f>IF(B52="","",
IF(INDEX('대기측정 분석결과서'!$F$23:$I$74,MATCH(B52,항목,0),1)="","값없음",
IF(ISERROR(FIXED(IF(INDEX('대기측정 분석결과서'!$F$23:$I$74,MATCH(B52,항목,0),1)&lt;INDEX('대기측정 분석결과서'!$AG$23:$AG$74,MATCH(B52,항목,0)),"불검출",
INDEX('대기측정 분석결과서'!$F$23:$I$74,MATCH(B52,항목,0),1)),INDEX('대기측정 분석결과서'!$AI$23:$AI$74,MATCH(B52,항목,0)))),"불검출",
FIXED(INDEX('대기측정 분석결과서'!$F$23:$I$74,MATCH(B52,항목,0),1),INDEX('대기측정 분석결과서'!$AI$23:$AI$74,MATCH(B52,항목,0))))))</f>
        <v/>
      </c>
      <c r="J52" s="1484"/>
      <c r="K52" s="1485"/>
      <c r="L52" s="1471" t="str">
        <f>IF(B52="","",
   IF(INDEX(Sheet1!$E$6:$F$51,MATCH(B52,Sheet1!$E$6:$E$51,0),2)="수은",
      '한종_시료채취기록지 '!$AG$20,
   IF(INDEX(Sheet1!$E$6:$F$51,MATCH(B52,Sheet1!$E$6:$E$51,0),2)="먼지",
      '한종_시료채취기록지 '!$Y$20,
   IF(INDEX(Sheet1!$E$6:$F$51,MATCH(B52,Sheet1!$E$6:$E$51,0),2)="THC",
      '한종_시료채취기록지 '!$AC$23,
   IF(INDEX(Sheet1!$E$6:$F$51,MATCH(B52,Sheet1!$E$6:$E$51,0),2)="매연",
      '한종_시료채취기록지 '!$AG$23,
   IF(INDEX(Sheet1!$E$6:$F$51,MATCH(B52,Sheet1!$E$6:$E$51,0),2)="옵티마",
      '한종_시료채취기록지 '!$Y$23,
   IF(INDEX(Sheet1!$E$6:$F$51,MATCH(B52,Sheet1!$E$6:$E$51,0),2)="중금속",
      '한종_시료채취기록지 '!$AC$20,
   IF(INDEX(Sheet1!$E$6:$F$51,MATCH(B52,Sheet1!$E$6:$E$51,0),2)="T",
    IFERROR(
         INDEX(가스상항목시간,MATCH("VOCs-T",가스상항목,0),5),
         INDEX(가스상항목시간,MATCH("VOCs-A",가스상항목,0),5)
      ),
   IF(INDEX(Sheet1!$E$6:$F$51,MATCH(B52,Sheet1!$E$6:$E$51,0),2)="A",
         INDEX(가스상항목시간,MATCH("VOCs-A",가스상항목,0),5),
   IF(INDEX(Sheet1!$E$6:$F$51,MATCH(B52,Sheet1!$E$6:$E$51,0),2)="DNPH",
      INDEX(가스상항목시간,MATCH("VOCs",가스상항목,0),5),
      INDEX(가스상항목시간,MATCH(B52,가스상항목,0),5)
   ))))))))))</f>
        <v/>
      </c>
      <c r="M52" s="1472"/>
      <c r="N52" s="1475"/>
      <c r="O52" s="1471" t="str">
        <f>IF(B52="","",INDEX('대기측정 분석결과서'!$Z$23:$Z$74,MATCH(B52,항목,0)))</f>
        <v/>
      </c>
      <c r="P52" s="1472"/>
      <c r="Q52" s="1472"/>
      <c r="R52" s="1475"/>
      <c r="S52" s="1486" t="str">
        <f>IF(B52="","",INDEX('대기측정 분석결과서'!$M$23:$M$74,MATCH(B52,항목,0)))</f>
        <v/>
      </c>
      <c r="T52" s="1487"/>
    </row>
    <row r="53" spans="1:20" ht="21.95" customHeight="1">
      <c r="A53" s="1568"/>
      <c r="B53" s="1469"/>
      <c r="C53" s="1469"/>
      <c r="D53" s="1469"/>
      <c r="E53" s="1470"/>
      <c r="F53" s="1471" t="str">
        <f t="shared" si="2"/>
        <v/>
      </c>
      <c r="G53" s="1472"/>
      <c r="H53" s="527" t="str">
        <f>IF(B53="","",INDEX('대기측정 분석결과서'!$AH$23:$AH$74,MATCH(B53,측정항목,0)))</f>
        <v/>
      </c>
      <c r="I53" s="1483" t="str">
        <f>IF(B53="","",
IF(INDEX('대기측정 분석결과서'!$F$23:$I$74,MATCH(B53,항목,0),1)="","값없음",
IF(ISERROR(FIXED(IF(INDEX('대기측정 분석결과서'!$F$23:$I$74,MATCH(B53,항목,0),1)&lt;INDEX('대기측정 분석결과서'!$AG$23:$AG$74,MATCH(B53,항목,0)),"불검출",
INDEX('대기측정 분석결과서'!$F$23:$I$74,MATCH(B53,항목,0),1)),INDEX('대기측정 분석결과서'!$AI$23:$AI$74,MATCH(B53,항목,0)))),"불검출",
FIXED(INDEX('대기측정 분석결과서'!$F$23:$I$74,MATCH(B53,항목,0),1),INDEX('대기측정 분석결과서'!$AI$23:$AI$74,MATCH(B53,항목,0))))))</f>
        <v/>
      </c>
      <c r="J53" s="1484"/>
      <c r="K53" s="1485"/>
      <c r="L53" s="1471" t="str">
        <f>IF(B53="","",
   IF(INDEX(Sheet1!$E$6:$F$51,MATCH(B53,Sheet1!$E$6:$E$51,0),2)="수은",
      '한종_시료채취기록지 '!$AG$20,
   IF(INDEX(Sheet1!$E$6:$F$51,MATCH(B53,Sheet1!$E$6:$E$51,0),2)="먼지",
      '한종_시료채취기록지 '!$Y$20,
   IF(INDEX(Sheet1!$E$6:$F$51,MATCH(B53,Sheet1!$E$6:$E$51,0),2)="THC",
      '한종_시료채취기록지 '!$AC$23,
   IF(INDEX(Sheet1!$E$6:$F$51,MATCH(B53,Sheet1!$E$6:$E$51,0),2)="매연",
      '한종_시료채취기록지 '!$AG$23,
   IF(INDEX(Sheet1!$E$6:$F$51,MATCH(B53,Sheet1!$E$6:$E$51,0),2)="옵티마",
      '한종_시료채취기록지 '!$Y$23,
   IF(INDEX(Sheet1!$E$6:$F$51,MATCH(B53,Sheet1!$E$6:$E$51,0),2)="중금속",
      '한종_시료채취기록지 '!$AC$20,
   IF(INDEX(Sheet1!$E$6:$F$51,MATCH(B53,Sheet1!$E$6:$E$51,0),2)="T",
    IFERROR(
         INDEX(가스상항목시간,MATCH("VOCs-T",가스상항목,0),5),
         INDEX(가스상항목시간,MATCH("VOCs-A",가스상항목,0),5)
      ),
   IF(INDEX(Sheet1!$E$6:$F$51,MATCH(B53,Sheet1!$E$6:$E$51,0),2)="A",
         INDEX(가스상항목시간,MATCH("VOCs-A",가스상항목,0),5),
   IF(INDEX(Sheet1!$E$6:$F$51,MATCH(B53,Sheet1!$E$6:$E$51,0),2)="DNPH",
      INDEX(가스상항목시간,MATCH("VOCs",가스상항목,0),5),
      INDEX(가스상항목시간,MATCH(B53,가스상항목,0),5)
   ))))))))))</f>
        <v/>
      </c>
      <c r="M53" s="1472"/>
      <c r="N53" s="1475"/>
      <c r="O53" s="1471" t="str">
        <f>IF(B53="","",INDEX('대기측정 분석결과서'!$Z$23:$Z$74,MATCH(B53,항목,0)))</f>
        <v/>
      </c>
      <c r="P53" s="1472"/>
      <c r="Q53" s="1472"/>
      <c r="R53" s="1475"/>
      <c r="S53" s="1486" t="str">
        <f>IF(B53="","",INDEX('대기측정 분석결과서'!$M$23:$M$74,MATCH(B53,항목,0)))</f>
        <v/>
      </c>
      <c r="T53" s="1487"/>
    </row>
    <row r="54" spans="1:20" ht="21.95" customHeight="1">
      <c r="A54" s="1568"/>
      <c r="B54" s="1469"/>
      <c r="C54" s="1469"/>
      <c r="D54" s="1469"/>
      <c r="E54" s="1470"/>
      <c r="F54" s="1471" t="str">
        <f t="shared" si="2"/>
        <v/>
      </c>
      <c r="G54" s="1472"/>
      <c r="H54" s="527" t="str">
        <f>IF(B54="","",INDEX('대기측정 분석결과서'!$AH$23:$AH$74,MATCH(B54,측정항목,0)))</f>
        <v/>
      </c>
      <c r="I54" s="1483" t="str">
        <f>IF(B54="","",
IF(INDEX('대기측정 분석결과서'!$F$23:$I$74,MATCH(B54,항목,0),1)="","값없음",
IF(ISERROR(FIXED(IF(INDEX('대기측정 분석결과서'!$F$23:$I$74,MATCH(B54,항목,0),1)&lt;INDEX('대기측정 분석결과서'!$AG$23:$AG$74,MATCH(B54,항목,0)),"불검출",
INDEX('대기측정 분석결과서'!$F$23:$I$74,MATCH(B54,항목,0),1)),INDEX('대기측정 분석결과서'!$AI$23:$AI$74,MATCH(B54,항목,0)))),"불검출",
FIXED(INDEX('대기측정 분석결과서'!$F$23:$I$74,MATCH(B54,항목,0),1),INDEX('대기측정 분석결과서'!$AI$23:$AI$74,MATCH(B54,항목,0))))))</f>
        <v/>
      </c>
      <c r="J54" s="1484"/>
      <c r="K54" s="1485"/>
      <c r="L54" s="1471" t="str">
        <f>IF(B54="","",
   IF(INDEX(Sheet1!$E$6:$F$51,MATCH(B54,Sheet1!$E$6:$E$51,0),2)="수은",
      '한종_시료채취기록지 '!$AG$20,
   IF(INDEX(Sheet1!$E$6:$F$51,MATCH(B54,Sheet1!$E$6:$E$51,0),2)="먼지",
      '한종_시료채취기록지 '!$Y$20,
   IF(INDEX(Sheet1!$E$6:$F$51,MATCH(B54,Sheet1!$E$6:$E$51,0),2)="THC",
      '한종_시료채취기록지 '!$AC$23,
   IF(INDEX(Sheet1!$E$6:$F$51,MATCH(B54,Sheet1!$E$6:$E$51,0),2)="매연",
      '한종_시료채취기록지 '!$AG$23,
   IF(INDEX(Sheet1!$E$6:$F$51,MATCH(B54,Sheet1!$E$6:$E$51,0),2)="옵티마",
      '한종_시료채취기록지 '!$Y$23,
   IF(INDEX(Sheet1!$E$6:$F$51,MATCH(B54,Sheet1!$E$6:$E$51,0),2)="중금속",
      '한종_시료채취기록지 '!$AC$20,
   IF(INDEX(Sheet1!$E$6:$F$51,MATCH(B54,Sheet1!$E$6:$E$51,0),2)="T",
    IFERROR(
         INDEX(가스상항목시간,MATCH("VOCs-T",가스상항목,0),5),
         INDEX(가스상항목시간,MATCH("VOCs-A",가스상항목,0),5)
      ),
   IF(INDEX(Sheet1!$E$6:$F$51,MATCH(B54,Sheet1!$E$6:$E$51,0),2)="A",
         INDEX(가스상항목시간,MATCH("VOCs-A",가스상항목,0),5),
   IF(INDEX(Sheet1!$E$6:$F$51,MATCH(B54,Sheet1!$E$6:$E$51,0),2)="DNPH",
      INDEX(가스상항목시간,MATCH("VOCs",가스상항목,0),5),
      INDEX(가스상항목시간,MATCH(B54,가스상항목,0),5)
   ))))))))))</f>
        <v/>
      </c>
      <c r="M54" s="1472"/>
      <c r="N54" s="1475"/>
      <c r="O54" s="1471" t="str">
        <f>IF(B54="","",INDEX('대기측정 분석결과서'!$Z$23:$Z$74,MATCH(B54,항목,0)))</f>
        <v/>
      </c>
      <c r="P54" s="1472"/>
      <c r="Q54" s="1472"/>
      <c r="R54" s="1475"/>
      <c r="S54" s="1486" t="str">
        <f>IF(B54="","",INDEX('대기측정 분석결과서'!$M$23:$M$74,MATCH(B54,항목,0)))</f>
        <v/>
      </c>
      <c r="T54" s="1487"/>
    </row>
    <row r="55" spans="1:20" ht="21.95" customHeight="1">
      <c r="A55" s="1568"/>
      <c r="B55" s="1469"/>
      <c r="C55" s="1469"/>
      <c r="D55" s="1469"/>
      <c r="E55" s="1470"/>
      <c r="F55" s="1471" t="str">
        <f t="shared" si="2"/>
        <v/>
      </c>
      <c r="G55" s="1472"/>
      <c r="H55" s="527" t="str">
        <f>IF(B55="","",INDEX('대기측정 분석결과서'!$AH$23:$AH$74,MATCH(B55,측정항목,0)))</f>
        <v/>
      </c>
      <c r="I55" s="1483" t="str">
        <f>IF(B55="","",
IF(INDEX('대기측정 분석결과서'!$F$23:$I$74,MATCH(B55,항목,0),1)="","값없음",
IF(ISERROR(FIXED(IF(INDEX('대기측정 분석결과서'!$F$23:$I$74,MATCH(B55,항목,0),1)&lt;INDEX('대기측정 분석결과서'!$AG$23:$AG$74,MATCH(B55,항목,0)),"불검출",
INDEX('대기측정 분석결과서'!$F$23:$I$74,MATCH(B55,항목,0),1)),INDEX('대기측정 분석결과서'!$AI$23:$AI$74,MATCH(B55,항목,0)))),"불검출",
FIXED(INDEX('대기측정 분석결과서'!$F$23:$I$74,MATCH(B55,항목,0),1),INDEX('대기측정 분석결과서'!$AI$23:$AI$74,MATCH(B55,항목,0))))))</f>
        <v/>
      </c>
      <c r="J55" s="1484"/>
      <c r="K55" s="1485"/>
      <c r="L55" s="1471" t="str">
        <f>IF(B55="","",
   IF(INDEX(Sheet1!$E$6:$F$51,MATCH(B55,Sheet1!$E$6:$E$51,0),2)="수은",
      '한종_시료채취기록지 '!$AG$20,
   IF(INDEX(Sheet1!$E$6:$F$51,MATCH(B55,Sheet1!$E$6:$E$51,0),2)="먼지",
      '한종_시료채취기록지 '!$Y$20,
   IF(INDEX(Sheet1!$E$6:$F$51,MATCH(B55,Sheet1!$E$6:$E$51,0),2)="THC",
      '한종_시료채취기록지 '!$AC$23,
   IF(INDEX(Sheet1!$E$6:$F$51,MATCH(B55,Sheet1!$E$6:$E$51,0),2)="매연",
      '한종_시료채취기록지 '!$AG$23,
   IF(INDEX(Sheet1!$E$6:$F$51,MATCH(B55,Sheet1!$E$6:$E$51,0),2)="옵티마",
      '한종_시료채취기록지 '!$Y$23,
   IF(INDEX(Sheet1!$E$6:$F$51,MATCH(B55,Sheet1!$E$6:$E$51,0),2)="중금속",
      '한종_시료채취기록지 '!$AC$20,
   IF(INDEX(Sheet1!$E$6:$F$51,MATCH(B55,Sheet1!$E$6:$E$51,0),2)="T",
    IFERROR(
         INDEX(가스상항목시간,MATCH("VOCs-T",가스상항목,0),5),
         INDEX(가스상항목시간,MATCH("VOCs-A",가스상항목,0),5)
      ),
   IF(INDEX(Sheet1!$E$6:$F$51,MATCH(B55,Sheet1!$E$6:$E$51,0),2)="A",
         INDEX(가스상항목시간,MATCH("VOCs-A",가스상항목,0),5),
   IF(INDEX(Sheet1!$E$6:$F$51,MATCH(B55,Sheet1!$E$6:$E$51,0),2)="DNPH",
      INDEX(가스상항목시간,MATCH("VOCs",가스상항목,0),5),
      INDEX(가스상항목시간,MATCH(B55,가스상항목,0),5)
   ))))))))))</f>
        <v/>
      </c>
      <c r="M55" s="1472"/>
      <c r="N55" s="1475"/>
      <c r="O55" s="1471" t="str">
        <f>IF(B55="","",INDEX('대기측정 분석결과서'!$Z$23:$Z$74,MATCH(B55,항목,0)))</f>
        <v/>
      </c>
      <c r="P55" s="1472"/>
      <c r="Q55" s="1472"/>
      <c r="R55" s="1475"/>
      <c r="S55" s="1486" t="str">
        <f>IF(B55="","",INDEX('대기측정 분석결과서'!$M$23:$M$74,MATCH(B55,항목,0)))</f>
        <v/>
      </c>
      <c r="T55" s="1487"/>
    </row>
    <row r="56" spans="1:20" ht="21.95" customHeight="1">
      <c r="A56" s="1568"/>
      <c r="B56" s="1469"/>
      <c r="C56" s="1469"/>
      <c r="D56" s="1469"/>
      <c r="E56" s="1470"/>
      <c r="F56" s="1471" t="str">
        <f t="shared" si="2"/>
        <v/>
      </c>
      <c r="G56" s="1472"/>
      <c r="H56" s="527" t="str">
        <f>IF(B56="","",INDEX('대기측정 분석결과서'!$AH$23:$AH$74,MATCH(B56,측정항목,0)))</f>
        <v/>
      </c>
      <c r="I56" s="1483" t="str">
        <f>IF(B56="","",
IF(INDEX('대기측정 분석결과서'!$F$23:$I$74,MATCH(B56,항목,0),1)="","값없음",
IF(ISERROR(FIXED(IF(INDEX('대기측정 분석결과서'!$F$23:$I$74,MATCH(B56,항목,0),1)&lt;INDEX('대기측정 분석결과서'!$AG$23:$AG$74,MATCH(B56,항목,0)),"불검출",
INDEX('대기측정 분석결과서'!$F$23:$I$74,MATCH(B56,항목,0),1)),INDEX('대기측정 분석결과서'!$AI$23:$AI$74,MATCH(B56,항목,0)))),"불검출",
FIXED(INDEX('대기측정 분석결과서'!$F$23:$I$74,MATCH(B56,항목,0),1),INDEX('대기측정 분석결과서'!$AI$23:$AI$74,MATCH(B56,항목,0))))))</f>
        <v/>
      </c>
      <c r="J56" s="1484"/>
      <c r="K56" s="1485"/>
      <c r="L56" s="1471" t="str">
        <f>IF(B56="","",
   IF(INDEX(Sheet1!$E$6:$F$51,MATCH(B56,Sheet1!$E$6:$E$51,0),2)="수은",
      '한종_시료채취기록지 '!$AG$20,
   IF(INDEX(Sheet1!$E$6:$F$51,MATCH(B56,Sheet1!$E$6:$E$51,0),2)="먼지",
      '한종_시료채취기록지 '!$Y$20,
   IF(INDEX(Sheet1!$E$6:$F$51,MATCH(B56,Sheet1!$E$6:$E$51,0),2)="THC",
      '한종_시료채취기록지 '!$AC$23,
   IF(INDEX(Sheet1!$E$6:$F$51,MATCH(B56,Sheet1!$E$6:$E$51,0),2)="매연",
      '한종_시료채취기록지 '!$AG$23,
   IF(INDEX(Sheet1!$E$6:$F$51,MATCH(B56,Sheet1!$E$6:$E$51,0),2)="옵티마",
      '한종_시료채취기록지 '!$Y$23,
   IF(INDEX(Sheet1!$E$6:$F$51,MATCH(B56,Sheet1!$E$6:$E$51,0),2)="중금속",
      '한종_시료채취기록지 '!$AC$20,
   IF(INDEX(Sheet1!$E$6:$F$51,MATCH(B56,Sheet1!$E$6:$E$51,0),2)="T",
    IFERROR(
         INDEX(가스상항목시간,MATCH("VOCs-T",가스상항목,0),5),
         INDEX(가스상항목시간,MATCH("VOCs-A",가스상항목,0),5)
      ),
   IF(INDEX(Sheet1!$E$6:$F$51,MATCH(B56,Sheet1!$E$6:$E$51,0),2)="A",
         INDEX(가스상항목시간,MATCH("VOCs-A",가스상항목,0),5),
   IF(INDEX(Sheet1!$E$6:$F$51,MATCH(B56,Sheet1!$E$6:$E$51,0),2)="DNPH",
      INDEX(가스상항목시간,MATCH("VOCs",가스상항목,0),5),
      INDEX(가스상항목시간,MATCH(B56,가스상항목,0),5)
   ))))))))))</f>
        <v/>
      </c>
      <c r="M56" s="1472"/>
      <c r="N56" s="1475"/>
      <c r="O56" s="1471" t="str">
        <f>IF(B56="","",INDEX('대기측정 분석결과서'!$Z$23:$Z$74,MATCH(B56,항목,0)))</f>
        <v/>
      </c>
      <c r="P56" s="1472"/>
      <c r="Q56" s="1472"/>
      <c r="R56" s="1475"/>
      <c r="S56" s="1486" t="str">
        <f>IF(B56="","",INDEX('대기측정 분석결과서'!$M$23:$M$74,MATCH(B56,항목,0)))</f>
        <v/>
      </c>
      <c r="T56" s="1487"/>
    </row>
    <row r="57" spans="1:20" ht="21.95" customHeight="1">
      <c r="A57" s="1568"/>
      <c r="B57" s="1469"/>
      <c r="C57" s="1469"/>
      <c r="D57" s="1469"/>
      <c r="E57" s="1470"/>
      <c r="F57" s="1471" t="str">
        <f t="shared" si="2"/>
        <v/>
      </c>
      <c r="G57" s="1472"/>
      <c r="H57" s="527" t="str">
        <f>IF(B57="","",INDEX('대기측정 분석결과서'!$AH$23:$AH$74,MATCH(B57,측정항목,0)))</f>
        <v/>
      </c>
      <c r="I57" s="1483" t="str">
        <f>IF(B57="","",
IF(INDEX('대기측정 분석결과서'!$F$23:$I$74,MATCH(B57,항목,0),1)="","값없음",
IF(ISERROR(FIXED(IF(INDEX('대기측정 분석결과서'!$F$23:$I$74,MATCH(B57,항목,0),1)&lt;INDEX('대기측정 분석결과서'!$AG$23:$AG$74,MATCH(B57,항목,0)),"불검출",
INDEX('대기측정 분석결과서'!$F$23:$I$74,MATCH(B57,항목,0),1)),INDEX('대기측정 분석결과서'!$AI$23:$AI$74,MATCH(B57,항목,0)))),"불검출",
FIXED(INDEX('대기측정 분석결과서'!$F$23:$I$74,MATCH(B57,항목,0),1),INDEX('대기측정 분석결과서'!$AI$23:$AI$74,MATCH(B57,항목,0))))))</f>
        <v/>
      </c>
      <c r="J57" s="1484"/>
      <c r="K57" s="1485"/>
      <c r="L57" s="1471" t="str">
        <f>IF(B57="","",
   IF(INDEX(Sheet1!$E$6:$F$51,MATCH(B57,Sheet1!$E$6:$E$51,0),2)="수은",
      '한종_시료채취기록지 '!$AG$20,
   IF(INDEX(Sheet1!$E$6:$F$51,MATCH(B57,Sheet1!$E$6:$E$51,0),2)="먼지",
      '한종_시료채취기록지 '!$Y$20,
   IF(INDEX(Sheet1!$E$6:$F$51,MATCH(B57,Sheet1!$E$6:$E$51,0),2)="THC",
      '한종_시료채취기록지 '!$AC$23,
   IF(INDEX(Sheet1!$E$6:$F$51,MATCH(B57,Sheet1!$E$6:$E$51,0),2)="매연",
      '한종_시료채취기록지 '!$AG$23,
   IF(INDEX(Sheet1!$E$6:$F$51,MATCH(B57,Sheet1!$E$6:$E$51,0),2)="옵티마",
      '한종_시료채취기록지 '!$Y$23,
   IF(INDEX(Sheet1!$E$6:$F$51,MATCH(B57,Sheet1!$E$6:$E$51,0),2)="중금속",
      '한종_시료채취기록지 '!$AC$20,
   IF(INDEX(Sheet1!$E$6:$F$51,MATCH(B57,Sheet1!$E$6:$E$51,0),2)="T",
    IFERROR(
         INDEX(가스상항목시간,MATCH("VOCs-T",가스상항목,0),5),
         INDEX(가스상항목시간,MATCH("VOCs-A",가스상항목,0),5)
      ),
   IF(INDEX(Sheet1!$E$6:$F$51,MATCH(B57,Sheet1!$E$6:$E$51,0),2)="A",
         INDEX(가스상항목시간,MATCH("VOCs-A",가스상항목,0),5),
   IF(INDEX(Sheet1!$E$6:$F$51,MATCH(B57,Sheet1!$E$6:$E$51,0),2)="DNPH",
      INDEX(가스상항목시간,MATCH("VOCs",가스상항목,0),5),
      INDEX(가스상항목시간,MATCH(B57,가스상항목,0),5)
   ))))))))))</f>
        <v/>
      </c>
      <c r="M57" s="1472"/>
      <c r="N57" s="1475"/>
      <c r="O57" s="1471" t="str">
        <f>IF(B57="","",INDEX('대기측정 분석결과서'!$Z$23:$Z$74,MATCH(B57,항목,0)))</f>
        <v/>
      </c>
      <c r="P57" s="1472"/>
      <c r="Q57" s="1472"/>
      <c r="R57" s="1475"/>
      <c r="S57" s="1486" t="str">
        <f>IF(B57="","",INDEX('대기측정 분석결과서'!$M$23:$M$74,MATCH(B57,항목,0)))</f>
        <v/>
      </c>
      <c r="T57" s="1487"/>
    </row>
    <row r="58" spans="1:20" ht="21.95" customHeight="1">
      <c r="A58" s="1568"/>
      <c r="B58" s="1469"/>
      <c r="C58" s="1469"/>
      <c r="D58" s="1469"/>
      <c r="E58" s="1470"/>
      <c r="F58" s="1471" t="str">
        <f t="shared" si="2"/>
        <v/>
      </c>
      <c r="G58" s="1472"/>
      <c r="H58" s="527" t="str">
        <f>IF(B58="","",INDEX('대기측정 분석결과서'!$AH$23:$AH$74,MATCH(B58,측정항목,0)))</f>
        <v/>
      </c>
      <c r="I58" s="1483" t="str">
        <f>IF(B58="","",
IF(INDEX('대기측정 분석결과서'!$F$23:$I$74,MATCH(B58,항목,0),1)="","값없음",
IF(ISERROR(FIXED(IF(INDEX('대기측정 분석결과서'!$F$23:$I$74,MATCH(B58,항목,0),1)&lt;INDEX('대기측정 분석결과서'!$AG$23:$AG$74,MATCH(B58,항목,0)),"불검출",
INDEX('대기측정 분석결과서'!$F$23:$I$74,MATCH(B58,항목,0),1)),INDEX('대기측정 분석결과서'!$AI$23:$AI$74,MATCH(B58,항목,0)))),"불검출",
FIXED(INDEX('대기측정 분석결과서'!$F$23:$I$74,MATCH(B58,항목,0),1),INDEX('대기측정 분석결과서'!$AI$23:$AI$74,MATCH(B58,항목,0))))))</f>
        <v/>
      </c>
      <c r="J58" s="1484"/>
      <c r="K58" s="1485"/>
      <c r="L58" s="1471" t="str">
        <f>IF(B58="","",
   IF(INDEX(Sheet1!$E$6:$F$51,MATCH(B58,Sheet1!$E$6:$E$51,0),2)="수은",
      '한종_시료채취기록지 '!$AG$20,
   IF(INDEX(Sheet1!$E$6:$F$51,MATCH(B58,Sheet1!$E$6:$E$51,0),2)="먼지",
      '한종_시료채취기록지 '!$Y$20,
   IF(INDEX(Sheet1!$E$6:$F$51,MATCH(B58,Sheet1!$E$6:$E$51,0),2)="THC",
      '한종_시료채취기록지 '!$AC$23,
   IF(INDEX(Sheet1!$E$6:$F$51,MATCH(B58,Sheet1!$E$6:$E$51,0),2)="매연",
      '한종_시료채취기록지 '!$AG$23,
   IF(INDEX(Sheet1!$E$6:$F$51,MATCH(B58,Sheet1!$E$6:$E$51,0),2)="옵티마",
      '한종_시료채취기록지 '!$Y$23,
   IF(INDEX(Sheet1!$E$6:$F$51,MATCH(B58,Sheet1!$E$6:$E$51,0),2)="중금속",
      '한종_시료채취기록지 '!$AC$20,
   IF(INDEX(Sheet1!$E$6:$F$51,MATCH(B58,Sheet1!$E$6:$E$51,0),2)="T",
    IFERROR(
         INDEX(가스상항목시간,MATCH("VOCs-T",가스상항목,0),5),
         INDEX(가스상항목시간,MATCH("VOCs-A",가스상항목,0),5)
      ),
   IF(INDEX(Sheet1!$E$6:$F$51,MATCH(B58,Sheet1!$E$6:$E$51,0),2)="A",
         INDEX(가스상항목시간,MATCH("VOCs-A",가스상항목,0),5),
   IF(INDEX(Sheet1!$E$6:$F$51,MATCH(B58,Sheet1!$E$6:$E$51,0),2)="DNPH",
      INDEX(가스상항목시간,MATCH("VOCs",가스상항목,0),5),
      INDEX(가스상항목시간,MATCH(B58,가스상항목,0),5)
   ))))))))))</f>
        <v/>
      </c>
      <c r="M58" s="1472"/>
      <c r="N58" s="1475"/>
      <c r="O58" s="1471" t="str">
        <f>IF(B58="","",INDEX('대기측정 분석결과서'!$Z$23:$Z$74,MATCH(B58,항목,0)))</f>
        <v/>
      </c>
      <c r="P58" s="1472"/>
      <c r="Q58" s="1472"/>
      <c r="R58" s="1475"/>
      <c r="S58" s="1486" t="str">
        <f>IF(B58="","",INDEX('대기측정 분석결과서'!$M$23:$M$74,MATCH(B58,항목,0)))</f>
        <v/>
      </c>
      <c r="T58" s="1487"/>
    </row>
    <row r="59" spans="1:20" ht="21.95" customHeight="1">
      <c r="A59" s="1568"/>
      <c r="B59" s="1469"/>
      <c r="C59" s="1469"/>
      <c r="D59" s="1469"/>
      <c r="E59" s="1470"/>
      <c r="F59" s="1471" t="str">
        <f t="shared" si="2"/>
        <v/>
      </c>
      <c r="G59" s="1472"/>
      <c r="H59" s="527" t="str">
        <f>IF(B59="","",INDEX('대기측정 분석결과서'!$AH$23:$AH$74,MATCH(B59,측정항목,0)))</f>
        <v/>
      </c>
      <c r="I59" s="1483" t="str">
        <f>IF(B59="","",
IF(INDEX('대기측정 분석결과서'!$F$23:$I$74,MATCH(B59,항목,0),1)="","값없음",
IF(ISERROR(FIXED(IF(INDEX('대기측정 분석결과서'!$F$23:$I$74,MATCH(B59,항목,0),1)&lt;INDEX('대기측정 분석결과서'!$AG$23:$AG$74,MATCH(B59,항목,0)),"불검출",
INDEX('대기측정 분석결과서'!$F$23:$I$74,MATCH(B59,항목,0),1)),INDEX('대기측정 분석결과서'!$AI$23:$AI$74,MATCH(B59,항목,0)))),"불검출",
FIXED(INDEX('대기측정 분석결과서'!$F$23:$I$74,MATCH(B59,항목,0),1),INDEX('대기측정 분석결과서'!$AI$23:$AI$74,MATCH(B59,항목,0))))))</f>
        <v/>
      </c>
      <c r="J59" s="1484"/>
      <c r="K59" s="1485"/>
      <c r="L59" s="1471" t="str">
        <f>IF(B59="","",
   IF(INDEX(Sheet1!$E$6:$F$51,MATCH(B59,Sheet1!$E$6:$E$51,0),2)="수은",
      '한종_시료채취기록지 '!$AG$20,
   IF(INDEX(Sheet1!$E$6:$F$51,MATCH(B59,Sheet1!$E$6:$E$51,0),2)="먼지",
      '한종_시료채취기록지 '!$Y$20,
   IF(INDEX(Sheet1!$E$6:$F$51,MATCH(B59,Sheet1!$E$6:$E$51,0),2)="THC",
      '한종_시료채취기록지 '!$AC$23,
   IF(INDEX(Sheet1!$E$6:$F$51,MATCH(B59,Sheet1!$E$6:$E$51,0),2)="매연",
      '한종_시료채취기록지 '!$AG$23,
   IF(INDEX(Sheet1!$E$6:$F$51,MATCH(B59,Sheet1!$E$6:$E$51,0),2)="옵티마",
      '한종_시료채취기록지 '!$Y$23,
   IF(INDEX(Sheet1!$E$6:$F$51,MATCH(B59,Sheet1!$E$6:$E$51,0),2)="중금속",
      '한종_시료채취기록지 '!$AC$20,
   IF(INDEX(Sheet1!$E$6:$F$51,MATCH(B59,Sheet1!$E$6:$E$51,0),2)="T",
    IFERROR(
         INDEX(가스상항목시간,MATCH("VOCs-T",가스상항목,0),5),
         INDEX(가스상항목시간,MATCH("VOCs-A",가스상항목,0),5)
      ),
   IF(INDEX(Sheet1!$E$6:$F$51,MATCH(B59,Sheet1!$E$6:$E$51,0),2)="A",
         INDEX(가스상항목시간,MATCH("VOCs-A",가스상항목,0),5),
   IF(INDEX(Sheet1!$E$6:$F$51,MATCH(B59,Sheet1!$E$6:$E$51,0),2)="DNPH",
      INDEX(가스상항목시간,MATCH("VOCs",가스상항목,0),5),
      INDEX(가스상항목시간,MATCH(B59,가스상항목,0),5)
   ))))))))))</f>
        <v/>
      </c>
      <c r="M59" s="1472"/>
      <c r="N59" s="1475"/>
      <c r="O59" s="1471" t="str">
        <f>IF(B59="","",INDEX('대기측정 분석결과서'!$Z$23:$Z$74,MATCH(B59,항목,0)))</f>
        <v/>
      </c>
      <c r="P59" s="1472"/>
      <c r="Q59" s="1472"/>
      <c r="R59" s="1475"/>
      <c r="S59" s="1486" t="str">
        <f>IF(B59="","",INDEX('대기측정 분석결과서'!$M$23:$M$74,MATCH(B59,항목,0)))</f>
        <v/>
      </c>
      <c r="T59" s="1487"/>
    </row>
    <row r="60" spans="1:20" ht="21.95" customHeight="1">
      <c r="A60" s="1568"/>
      <c r="B60" s="1469"/>
      <c r="C60" s="1469"/>
      <c r="D60" s="1469"/>
      <c r="E60" s="1470"/>
      <c r="F60" s="1471" t="str">
        <f t="shared" si="2"/>
        <v/>
      </c>
      <c r="G60" s="1472"/>
      <c r="H60" s="527" t="str">
        <f>IF(B60="","",INDEX('대기측정 분석결과서'!$AH$23:$AH$74,MATCH(B60,측정항목,0)))</f>
        <v/>
      </c>
      <c r="I60" s="1483" t="str">
        <f>IF(B60="","",
IF(INDEX('대기측정 분석결과서'!$F$23:$I$74,MATCH(B60,항목,0),1)="","값없음",
IF(ISERROR(FIXED(IF(INDEX('대기측정 분석결과서'!$F$23:$I$74,MATCH(B60,항목,0),1)&lt;INDEX('대기측정 분석결과서'!$AG$23:$AG$74,MATCH(B60,항목,0)),"불검출",
INDEX('대기측정 분석결과서'!$F$23:$I$74,MATCH(B60,항목,0),1)),INDEX('대기측정 분석결과서'!$AI$23:$AI$74,MATCH(B60,항목,0)))),"불검출",
FIXED(INDEX('대기측정 분석결과서'!$F$23:$I$74,MATCH(B60,항목,0),1),INDEX('대기측정 분석결과서'!$AI$23:$AI$74,MATCH(B60,항목,0))))))</f>
        <v/>
      </c>
      <c r="J60" s="1484"/>
      <c r="K60" s="1485"/>
      <c r="L60" s="1471" t="str">
        <f>IF(B60="","",
   IF(INDEX(Sheet1!$E$6:$F$51,MATCH(B60,Sheet1!$E$6:$E$51,0),2)="수은",
      '한종_시료채취기록지 '!$AG$20,
   IF(INDEX(Sheet1!$E$6:$F$51,MATCH(B60,Sheet1!$E$6:$E$51,0),2)="먼지",
      '한종_시료채취기록지 '!$Y$20,
   IF(INDEX(Sheet1!$E$6:$F$51,MATCH(B60,Sheet1!$E$6:$E$51,0),2)="THC",
      '한종_시료채취기록지 '!$AC$23,
   IF(INDEX(Sheet1!$E$6:$F$51,MATCH(B60,Sheet1!$E$6:$E$51,0),2)="매연",
      '한종_시료채취기록지 '!$AG$23,
   IF(INDEX(Sheet1!$E$6:$F$51,MATCH(B60,Sheet1!$E$6:$E$51,0),2)="옵티마",
      '한종_시료채취기록지 '!$Y$23,
   IF(INDEX(Sheet1!$E$6:$F$51,MATCH(B60,Sheet1!$E$6:$E$51,0),2)="중금속",
      '한종_시료채취기록지 '!$AC$20,
   IF(INDEX(Sheet1!$E$6:$F$51,MATCH(B60,Sheet1!$E$6:$E$51,0),2)="T",
    IFERROR(
         INDEX(가스상항목시간,MATCH("VOCs-T",가스상항목,0),5),
         INDEX(가스상항목시간,MATCH("VOCs-A",가스상항목,0),5)
      ),
   IF(INDEX(Sheet1!$E$6:$F$51,MATCH(B60,Sheet1!$E$6:$E$51,0),2)="A",
         INDEX(가스상항목시간,MATCH("VOCs-A",가스상항목,0),5),
   IF(INDEX(Sheet1!$E$6:$F$51,MATCH(B60,Sheet1!$E$6:$E$51,0),2)="DNPH",
      INDEX(가스상항목시간,MATCH("VOCs",가스상항목,0),5),
      INDEX(가스상항목시간,MATCH(B60,가스상항목,0),5)
   ))))))))))</f>
        <v/>
      </c>
      <c r="M60" s="1472"/>
      <c r="N60" s="1475"/>
      <c r="O60" s="1471" t="str">
        <f>IF(B60="","",INDEX('대기측정 분석결과서'!$Z$23:$Z$74,MATCH(B60,항목,0)))</f>
        <v/>
      </c>
      <c r="P60" s="1472"/>
      <c r="Q60" s="1472"/>
      <c r="R60" s="1475"/>
      <c r="S60" s="1486" t="str">
        <f>IF(B60="","",INDEX('대기측정 분석결과서'!$M$23:$M$74,MATCH(B60,항목,0)))</f>
        <v/>
      </c>
      <c r="T60" s="1487"/>
    </row>
    <row r="61" spans="1:20" ht="21.95" customHeight="1">
      <c r="A61" s="1568"/>
      <c r="B61" s="1469"/>
      <c r="C61" s="1469"/>
      <c r="D61" s="1469"/>
      <c r="E61" s="1470"/>
      <c r="F61" s="1471" t="str">
        <f t="shared" si="2"/>
        <v/>
      </c>
      <c r="G61" s="1472"/>
      <c r="H61" s="527" t="str">
        <f>IF(B61="","",INDEX('대기측정 분석결과서'!$AH$23:$AH$74,MATCH(B61,측정항목,0)))</f>
        <v/>
      </c>
      <c r="I61" s="1483" t="str">
        <f>IF(B61="","",
IF(INDEX('대기측정 분석결과서'!$F$23:$I$74,MATCH(B61,항목,0),1)="","값없음",
IF(ISERROR(FIXED(IF(INDEX('대기측정 분석결과서'!$F$23:$I$74,MATCH(B61,항목,0),1)&lt;INDEX('대기측정 분석결과서'!$AG$23:$AG$74,MATCH(B61,항목,0)),"불검출",
INDEX('대기측정 분석결과서'!$F$23:$I$74,MATCH(B61,항목,0),1)),INDEX('대기측정 분석결과서'!$AI$23:$AI$74,MATCH(B61,항목,0)))),"불검출",
FIXED(INDEX('대기측정 분석결과서'!$F$23:$I$74,MATCH(B61,항목,0),1),INDEX('대기측정 분석결과서'!$AI$23:$AI$74,MATCH(B61,항목,0))))))</f>
        <v/>
      </c>
      <c r="J61" s="1484"/>
      <c r="K61" s="1485"/>
      <c r="L61" s="1471" t="str">
        <f>IF(B61="","",
   IF(INDEX(Sheet1!$E$6:$F$51,MATCH(B61,Sheet1!$E$6:$E$51,0),2)="수은",
      '한종_시료채취기록지 '!$AG$20,
   IF(INDEX(Sheet1!$E$6:$F$51,MATCH(B61,Sheet1!$E$6:$E$51,0),2)="먼지",
      '한종_시료채취기록지 '!$Y$20,
   IF(INDEX(Sheet1!$E$6:$F$51,MATCH(B61,Sheet1!$E$6:$E$51,0),2)="THC",
      '한종_시료채취기록지 '!$AC$23,
   IF(INDEX(Sheet1!$E$6:$F$51,MATCH(B61,Sheet1!$E$6:$E$51,0),2)="매연",
      '한종_시료채취기록지 '!$AG$23,
   IF(INDEX(Sheet1!$E$6:$F$51,MATCH(B61,Sheet1!$E$6:$E$51,0),2)="옵티마",
      '한종_시료채취기록지 '!$Y$23,
   IF(INDEX(Sheet1!$E$6:$F$51,MATCH(B61,Sheet1!$E$6:$E$51,0),2)="중금속",
      '한종_시료채취기록지 '!$AC$20,
   IF(INDEX(Sheet1!$E$6:$F$51,MATCH(B61,Sheet1!$E$6:$E$51,0),2)="T",
    IFERROR(
         INDEX(가스상항목시간,MATCH("VOCs-T",가스상항목,0),5),
         INDEX(가스상항목시간,MATCH("VOCs-A",가스상항목,0),5)
      ),
   IF(INDEX(Sheet1!$E$6:$F$51,MATCH(B61,Sheet1!$E$6:$E$51,0),2)="A",
         INDEX(가스상항목시간,MATCH("VOCs-A",가스상항목,0),5),
   IF(INDEX(Sheet1!$E$6:$F$51,MATCH(B61,Sheet1!$E$6:$E$51,0),2)="DNPH",
      INDEX(가스상항목시간,MATCH("VOCs",가스상항목,0),5),
      INDEX(가스상항목시간,MATCH(B61,가스상항목,0),5)
   ))))))))))</f>
        <v/>
      </c>
      <c r="M61" s="1472"/>
      <c r="N61" s="1475"/>
      <c r="O61" s="1471" t="str">
        <f>IF(B61="","",INDEX('대기측정 분석결과서'!$Z$23:$Z$74,MATCH(B61,항목,0)))</f>
        <v/>
      </c>
      <c r="P61" s="1472"/>
      <c r="Q61" s="1472"/>
      <c r="R61" s="1475"/>
      <c r="S61" s="1486" t="str">
        <f>IF(B61="","",INDEX('대기측정 분석결과서'!$M$23:$M$74,MATCH(B61,항목,0)))</f>
        <v/>
      </c>
      <c r="T61" s="1487"/>
    </row>
    <row r="62" spans="1:20" ht="21.95" customHeight="1">
      <c r="A62" s="1568"/>
      <c r="B62" s="1469"/>
      <c r="C62" s="1469"/>
      <c r="D62" s="1469"/>
      <c r="E62" s="1470"/>
      <c r="F62" s="1471" t="str">
        <f t="shared" si="2"/>
        <v/>
      </c>
      <c r="G62" s="1472"/>
      <c r="H62" s="527" t="str">
        <f>IF(B62="","",INDEX('대기측정 분석결과서'!$AH$23:$AH$74,MATCH(B62,측정항목,0)))</f>
        <v/>
      </c>
      <c r="I62" s="1483" t="str">
        <f>IF(B62="","",
IF(INDEX('대기측정 분석결과서'!$F$23:$I$74,MATCH(B62,항목,0),1)="","값없음",
IF(ISERROR(FIXED(IF(INDEX('대기측정 분석결과서'!$F$23:$I$74,MATCH(B62,항목,0),1)&lt;INDEX('대기측정 분석결과서'!$AG$23:$AG$74,MATCH(B62,항목,0)),"불검출",
INDEX('대기측정 분석결과서'!$F$23:$I$74,MATCH(B62,항목,0),1)),INDEX('대기측정 분석결과서'!$AI$23:$AI$74,MATCH(B62,항목,0)))),"불검출",
FIXED(INDEX('대기측정 분석결과서'!$F$23:$I$74,MATCH(B62,항목,0),1),INDEX('대기측정 분석결과서'!$AI$23:$AI$74,MATCH(B62,항목,0))))))</f>
        <v/>
      </c>
      <c r="J62" s="1484"/>
      <c r="K62" s="1485"/>
      <c r="L62" s="1471" t="str">
        <f>IF(B62="","",
   IF(INDEX(Sheet1!$E$6:$F$51,MATCH(B62,Sheet1!$E$6:$E$51,0),2)="수은",
      '한종_시료채취기록지 '!$AG$20,
   IF(INDEX(Sheet1!$E$6:$F$51,MATCH(B62,Sheet1!$E$6:$E$51,0),2)="먼지",
      '한종_시료채취기록지 '!$Y$20,
   IF(INDEX(Sheet1!$E$6:$F$51,MATCH(B62,Sheet1!$E$6:$E$51,0),2)="THC",
      '한종_시료채취기록지 '!$AC$23,
   IF(INDEX(Sheet1!$E$6:$F$51,MATCH(B62,Sheet1!$E$6:$E$51,0),2)="매연",
      '한종_시료채취기록지 '!$AG$23,
   IF(INDEX(Sheet1!$E$6:$F$51,MATCH(B62,Sheet1!$E$6:$E$51,0),2)="옵티마",
      '한종_시료채취기록지 '!$Y$23,
   IF(INDEX(Sheet1!$E$6:$F$51,MATCH(B62,Sheet1!$E$6:$E$51,0),2)="중금속",
      '한종_시료채취기록지 '!$AC$20,
   IF(INDEX(Sheet1!$E$6:$F$51,MATCH(B62,Sheet1!$E$6:$E$51,0),2)="T",
    IFERROR(
         INDEX(가스상항목시간,MATCH("VOCs-T",가스상항목,0),5),
         INDEX(가스상항목시간,MATCH("VOCs-A",가스상항목,0),5)
      ),
   IF(INDEX(Sheet1!$E$6:$F$51,MATCH(B62,Sheet1!$E$6:$E$51,0),2)="A",
         INDEX(가스상항목시간,MATCH("VOCs-A",가스상항목,0),5),
   IF(INDEX(Sheet1!$E$6:$F$51,MATCH(B62,Sheet1!$E$6:$E$51,0),2)="DNPH",
      INDEX(가스상항목시간,MATCH("VOCs",가스상항목,0),5),
      INDEX(가스상항목시간,MATCH(B62,가스상항목,0),5)
   ))))))))))</f>
        <v/>
      </c>
      <c r="M62" s="1472"/>
      <c r="N62" s="1475"/>
      <c r="O62" s="1471" t="str">
        <f>IF(B62="","",INDEX('대기측정 분석결과서'!$Z$23:$Z$74,MATCH(B62,항목,0)))</f>
        <v/>
      </c>
      <c r="P62" s="1472"/>
      <c r="Q62" s="1472"/>
      <c r="R62" s="1475"/>
      <c r="S62" s="1486" t="str">
        <f>IF(B62="","",INDEX('대기측정 분석결과서'!$M$23:$M$74,MATCH(B62,항목,0)))</f>
        <v/>
      </c>
      <c r="T62" s="1487"/>
    </row>
    <row r="63" spans="1:20" ht="21.95" customHeight="1">
      <c r="A63" s="1568"/>
      <c r="B63" s="1469"/>
      <c r="C63" s="1469"/>
      <c r="D63" s="1469"/>
      <c r="E63" s="1470"/>
      <c r="F63" s="1471" t="str">
        <f t="shared" si="2"/>
        <v/>
      </c>
      <c r="G63" s="1472"/>
      <c r="H63" s="527" t="str">
        <f>IF(B63="","",INDEX('대기측정 분석결과서'!$AH$23:$AH$74,MATCH(B63,측정항목,0)))</f>
        <v/>
      </c>
      <c r="I63" s="1483" t="str">
        <f>IF(B63="","",
IF(INDEX('대기측정 분석결과서'!$F$23:$I$74,MATCH(B63,항목,0),1)="","값없음",
IF(ISERROR(FIXED(IF(INDEX('대기측정 분석결과서'!$F$23:$I$74,MATCH(B63,항목,0),1)&lt;INDEX('대기측정 분석결과서'!$AG$23:$AG$74,MATCH(B63,항목,0)),"불검출",
INDEX('대기측정 분석결과서'!$F$23:$I$74,MATCH(B63,항목,0),1)),INDEX('대기측정 분석결과서'!$AI$23:$AI$74,MATCH(B63,항목,0)))),"불검출",
FIXED(INDEX('대기측정 분석결과서'!$F$23:$I$74,MATCH(B63,항목,0),1),INDEX('대기측정 분석결과서'!$AI$23:$AI$74,MATCH(B63,항목,0))))))</f>
        <v/>
      </c>
      <c r="J63" s="1484"/>
      <c r="K63" s="1485"/>
      <c r="L63" s="1471" t="str">
        <f>IF(B63="","",
   IF(INDEX(Sheet1!$E$6:$F$51,MATCH(B63,Sheet1!$E$6:$E$51,0),2)="수은",
      '한종_시료채취기록지 '!$AG$20,
   IF(INDEX(Sheet1!$E$6:$F$51,MATCH(B63,Sheet1!$E$6:$E$51,0),2)="먼지",
      '한종_시료채취기록지 '!$Y$20,
   IF(INDEX(Sheet1!$E$6:$F$51,MATCH(B63,Sheet1!$E$6:$E$51,0),2)="THC",
      '한종_시료채취기록지 '!$AC$23,
   IF(INDEX(Sheet1!$E$6:$F$51,MATCH(B63,Sheet1!$E$6:$E$51,0),2)="매연",
      '한종_시료채취기록지 '!$AG$23,
   IF(INDEX(Sheet1!$E$6:$F$51,MATCH(B63,Sheet1!$E$6:$E$51,0),2)="옵티마",
      '한종_시료채취기록지 '!$Y$23,
   IF(INDEX(Sheet1!$E$6:$F$51,MATCH(B63,Sheet1!$E$6:$E$51,0),2)="중금속",
      '한종_시료채취기록지 '!$AC$20,
   IF(INDEX(Sheet1!$E$6:$F$51,MATCH(B63,Sheet1!$E$6:$E$51,0),2)="T",
    IFERROR(
         INDEX(가스상항목시간,MATCH("VOCs-T",가스상항목,0),5),
         INDEX(가스상항목시간,MATCH("VOCs-A",가스상항목,0),5)
      ),
   IF(INDEX(Sheet1!$E$6:$F$51,MATCH(B63,Sheet1!$E$6:$E$51,0),2)="A",
         INDEX(가스상항목시간,MATCH("VOCs-A",가스상항목,0),5),
   IF(INDEX(Sheet1!$E$6:$F$51,MATCH(B63,Sheet1!$E$6:$E$51,0),2)="DNPH",
      INDEX(가스상항목시간,MATCH("VOCs",가스상항목,0),5),
      INDEX(가스상항목시간,MATCH(B63,가스상항목,0),5)
   ))))))))))</f>
        <v/>
      </c>
      <c r="M63" s="1472"/>
      <c r="N63" s="1475"/>
      <c r="O63" s="1471" t="str">
        <f>IF(B63="","",INDEX('대기측정 분석결과서'!$Z$23:$Z$74,MATCH(B63,항목,0)))</f>
        <v/>
      </c>
      <c r="P63" s="1472"/>
      <c r="Q63" s="1472"/>
      <c r="R63" s="1475"/>
      <c r="S63" s="1486" t="str">
        <f>IF(B63="","",INDEX('대기측정 분석결과서'!$M$23:$M$74,MATCH(B63,항목,0)))</f>
        <v/>
      </c>
      <c r="T63" s="1487"/>
    </row>
    <row r="64" spans="1:20" ht="21.95" customHeight="1">
      <c r="A64" s="1568"/>
      <c r="B64" s="1469"/>
      <c r="C64" s="1469"/>
      <c r="D64" s="1469"/>
      <c r="E64" s="1470"/>
      <c r="F64" s="1471" t="str">
        <f t="shared" si="2"/>
        <v/>
      </c>
      <c r="G64" s="1472"/>
      <c r="H64" s="527" t="str">
        <f>IF(B64="","",INDEX('대기측정 분석결과서'!$AH$23:$AH$74,MATCH(B64,측정항목,0)))</f>
        <v/>
      </c>
      <c r="I64" s="1483" t="str">
        <f>IF(B64="","",
IF(INDEX('대기측정 분석결과서'!$F$23:$I$74,MATCH(B64,항목,0),1)="","값없음",
IF(ISERROR(FIXED(IF(INDEX('대기측정 분석결과서'!$F$23:$I$74,MATCH(B64,항목,0),1)&lt;INDEX('대기측정 분석결과서'!$AG$23:$AG$74,MATCH(B64,항목,0)),"불검출",
INDEX('대기측정 분석결과서'!$F$23:$I$74,MATCH(B64,항목,0),1)),INDEX('대기측정 분석결과서'!$AI$23:$AI$74,MATCH(B64,항목,0)))),"불검출",
FIXED(INDEX('대기측정 분석결과서'!$F$23:$I$74,MATCH(B64,항목,0),1),INDEX('대기측정 분석결과서'!$AI$23:$AI$74,MATCH(B64,항목,0))))))</f>
        <v/>
      </c>
      <c r="J64" s="1484"/>
      <c r="K64" s="1485"/>
      <c r="L64" s="1471" t="str">
        <f>IF(B64="","",
   IF(INDEX(Sheet1!$E$6:$F$51,MATCH(B64,Sheet1!$E$6:$E$51,0),2)="수은",
      '한종_시료채취기록지 '!$AG$20,
   IF(INDEX(Sheet1!$E$6:$F$51,MATCH(B64,Sheet1!$E$6:$E$51,0),2)="먼지",
      '한종_시료채취기록지 '!$Y$20,
   IF(INDEX(Sheet1!$E$6:$F$51,MATCH(B64,Sheet1!$E$6:$E$51,0),2)="THC",
      '한종_시료채취기록지 '!$AC$23,
   IF(INDEX(Sheet1!$E$6:$F$51,MATCH(B64,Sheet1!$E$6:$E$51,0),2)="매연",
      '한종_시료채취기록지 '!$AG$23,
   IF(INDEX(Sheet1!$E$6:$F$51,MATCH(B64,Sheet1!$E$6:$E$51,0),2)="옵티마",
      '한종_시료채취기록지 '!$Y$23,
   IF(INDEX(Sheet1!$E$6:$F$51,MATCH(B64,Sheet1!$E$6:$E$51,0),2)="중금속",
      '한종_시료채취기록지 '!$AC$20,
   IF(INDEX(Sheet1!$E$6:$F$51,MATCH(B64,Sheet1!$E$6:$E$51,0),2)="T",
    IFERROR(
         INDEX(가스상항목시간,MATCH("VOCs-T",가스상항목,0),5),
         INDEX(가스상항목시간,MATCH("VOCs-A",가스상항목,0),5)
      ),
   IF(INDEX(Sheet1!$E$6:$F$51,MATCH(B64,Sheet1!$E$6:$E$51,0),2)="A",
         INDEX(가스상항목시간,MATCH("VOCs-A",가스상항목,0),5),
   IF(INDEX(Sheet1!$E$6:$F$51,MATCH(B64,Sheet1!$E$6:$E$51,0),2)="DNPH",
      INDEX(가스상항목시간,MATCH("VOCs",가스상항목,0),5),
      INDEX(가스상항목시간,MATCH(B64,가스상항목,0),5)
   ))))))))))</f>
        <v/>
      </c>
      <c r="M64" s="1472"/>
      <c r="N64" s="1475"/>
      <c r="O64" s="1471" t="str">
        <f>IF(B64="","",INDEX('대기측정 분석결과서'!$Z$23:$Z$74,MATCH(B64,항목,0)))</f>
        <v/>
      </c>
      <c r="P64" s="1472"/>
      <c r="Q64" s="1472"/>
      <c r="R64" s="1475"/>
      <c r="S64" s="1486" t="str">
        <f>IF(B64="","",INDEX('대기측정 분석결과서'!$M$23:$M$74,MATCH(B64,항목,0)))</f>
        <v/>
      </c>
      <c r="T64" s="1487"/>
    </row>
    <row r="65" spans="1:30" ht="21.95" customHeight="1">
      <c r="A65" s="1568"/>
      <c r="B65" s="1469"/>
      <c r="C65" s="1469"/>
      <c r="D65" s="1469"/>
      <c r="E65" s="1470"/>
      <c r="F65" s="1471" t="str">
        <f t="shared" si="2"/>
        <v/>
      </c>
      <c r="G65" s="1472"/>
      <c r="H65" s="527" t="str">
        <f>IF(B65="","",INDEX('대기측정 분석결과서'!$AH$23:$AH$74,MATCH(B65,측정항목,0)))</f>
        <v/>
      </c>
      <c r="I65" s="1483" t="str">
        <f>IF(B65="","",
IF(INDEX('대기측정 분석결과서'!$F$23:$I$74,MATCH(B65,항목,0),1)="","값없음",
IF(ISERROR(FIXED(IF(INDEX('대기측정 분석결과서'!$F$23:$I$74,MATCH(B65,항목,0),1)&lt;INDEX('대기측정 분석결과서'!$AG$23:$AG$74,MATCH(B65,항목,0)),"불검출",
INDEX('대기측정 분석결과서'!$F$23:$I$74,MATCH(B65,항목,0),1)),INDEX('대기측정 분석결과서'!$AI$23:$AI$74,MATCH(B65,항목,0)))),"불검출",
FIXED(INDEX('대기측정 분석결과서'!$F$23:$I$74,MATCH(B65,항목,0),1),INDEX('대기측정 분석결과서'!$AI$23:$AI$74,MATCH(B65,항목,0))))))</f>
        <v/>
      </c>
      <c r="J65" s="1484"/>
      <c r="K65" s="1485"/>
      <c r="L65" s="1471" t="str">
        <f>IF(B65="","",
   IF(INDEX(Sheet1!$E$6:$F$51,MATCH(B65,Sheet1!$E$6:$E$51,0),2)="수은",
      '한종_시료채취기록지 '!$AG$20,
   IF(INDEX(Sheet1!$E$6:$F$51,MATCH(B65,Sheet1!$E$6:$E$51,0),2)="먼지",
      '한종_시료채취기록지 '!$Y$20,
   IF(INDEX(Sheet1!$E$6:$F$51,MATCH(B65,Sheet1!$E$6:$E$51,0),2)="THC",
      '한종_시료채취기록지 '!$AC$23,
   IF(INDEX(Sheet1!$E$6:$F$51,MATCH(B65,Sheet1!$E$6:$E$51,0),2)="매연",
      '한종_시료채취기록지 '!$AG$23,
   IF(INDEX(Sheet1!$E$6:$F$51,MATCH(B65,Sheet1!$E$6:$E$51,0),2)="옵티마",
      '한종_시료채취기록지 '!$Y$23,
   IF(INDEX(Sheet1!$E$6:$F$51,MATCH(B65,Sheet1!$E$6:$E$51,0),2)="중금속",
      '한종_시료채취기록지 '!$AC$20,
   IF(INDEX(Sheet1!$E$6:$F$51,MATCH(B65,Sheet1!$E$6:$E$51,0),2)="T",
    IFERROR(
         INDEX(가스상항목시간,MATCH("VOCs-T",가스상항목,0),5),
         INDEX(가스상항목시간,MATCH("VOCs-A",가스상항목,0),5)
      ),
   IF(INDEX(Sheet1!$E$6:$F$51,MATCH(B65,Sheet1!$E$6:$E$51,0),2)="A",
         INDEX(가스상항목시간,MATCH("VOCs-A",가스상항목,0),5),
   IF(INDEX(Sheet1!$E$6:$F$51,MATCH(B65,Sheet1!$E$6:$E$51,0),2)="DNPH",
      INDEX(가스상항목시간,MATCH("VOCs",가스상항목,0),5),
      INDEX(가스상항목시간,MATCH(B65,가스상항목,0),5)
   ))))))))))</f>
        <v/>
      </c>
      <c r="M65" s="1472"/>
      <c r="N65" s="1475"/>
      <c r="O65" s="1471" t="str">
        <f>IF(B65="","",INDEX('대기측정 분석결과서'!$Z$23:$Z$74,MATCH(B65,항목,0)))</f>
        <v/>
      </c>
      <c r="P65" s="1472"/>
      <c r="Q65" s="1472"/>
      <c r="R65" s="1475"/>
      <c r="S65" s="1486" t="str">
        <f>IF(B65="","",INDEX('대기측정 분석결과서'!$M$23:$M$74,MATCH(B65,항목,0)))</f>
        <v/>
      </c>
      <c r="T65" s="1487"/>
    </row>
    <row r="66" spans="1:30" ht="21.95" customHeight="1">
      <c r="A66" s="1568"/>
      <c r="B66" s="1469"/>
      <c r="C66" s="1469"/>
      <c r="D66" s="1469"/>
      <c r="E66" s="1470"/>
      <c r="F66" s="1471" t="str">
        <f t="shared" si="2"/>
        <v/>
      </c>
      <c r="G66" s="1472"/>
      <c r="H66" s="527" t="str">
        <f>IF(B66="","",INDEX('대기측정 분석결과서'!$AH$23:$AH$74,MATCH(B66,측정항목,0)))</f>
        <v/>
      </c>
      <c r="I66" s="1483" t="str">
        <f>IF(B66="","",
IF(INDEX('대기측정 분석결과서'!$F$23:$I$74,MATCH(B66,항목,0),1)="","값없음",
IF(ISERROR(FIXED(IF(INDEX('대기측정 분석결과서'!$F$23:$I$74,MATCH(B66,항목,0),1)&lt;INDEX('대기측정 분석결과서'!$AG$23:$AG$74,MATCH(B66,항목,0)),"불검출",
INDEX('대기측정 분석결과서'!$F$23:$I$74,MATCH(B66,항목,0),1)),INDEX('대기측정 분석결과서'!$AI$23:$AI$74,MATCH(B66,항목,0)))),"불검출",
FIXED(INDEX('대기측정 분석결과서'!$F$23:$I$74,MATCH(B66,항목,0),1),INDEX('대기측정 분석결과서'!$AI$23:$AI$74,MATCH(B66,항목,0))))))</f>
        <v/>
      </c>
      <c r="J66" s="1484"/>
      <c r="K66" s="1485"/>
      <c r="L66" s="1471" t="str">
        <f>IF(B66="","",
   IF(INDEX(Sheet1!$E$6:$F$51,MATCH(B66,Sheet1!$E$6:$E$51,0),2)="수은",
      '한종_시료채취기록지 '!$AG$20,
   IF(INDEX(Sheet1!$E$6:$F$51,MATCH(B66,Sheet1!$E$6:$E$51,0),2)="먼지",
      '한종_시료채취기록지 '!$Y$20,
   IF(INDEX(Sheet1!$E$6:$F$51,MATCH(B66,Sheet1!$E$6:$E$51,0),2)="THC",
      '한종_시료채취기록지 '!$AC$23,
   IF(INDEX(Sheet1!$E$6:$F$51,MATCH(B66,Sheet1!$E$6:$E$51,0),2)="매연",
      '한종_시료채취기록지 '!$AG$23,
   IF(INDEX(Sheet1!$E$6:$F$51,MATCH(B66,Sheet1!$E$6:$E$51,0),2)="옵티마",
      '한종_시료채취기록지 '!$Y$23,
   IF(INDEX(Sheet1!$E$6:$F$51,MATCH(B66,Sheet1!$E$6:$E$51,0),2)="중금속",
      '한종_시료채취기록지 '!$AC$20,
   IF(INDEX(Sheet1!$E$6:$F$51,MATCH(B66,Sheet1!$E$6:$E$51,0),2)="T",
    IFERROR(
         INDEX(가스상항목시간,MATCH("VOCs-T",가스상항목,0),5),
         INDEX(가스상항목시간,MATCH("VOCs-A",가스상항목,0),5)
      ),
   IF(INDEX(Sheet1!$E$6:$F$51,MATCH(B66,Sheet1!$E$6:$E$51,0),2)="A",
         INDEX(가스상항목시간,MATCH("VOCs-A",가스상항목,0),5),
   IF(INDEX(Sheet1!$E$6:$F$51,MATCH(B66,Sheet1!$E$6:$E$51,0),2)="DNPH",
      INDEX(가스상항목시간,MATCH("VOCs",가스상항목,0),5),
      INDEX(가스상항목시간,MATCH(B66,가스상항목,0),5)
   ))))))))))</f>
        <v/>
      </c>
      <c r="M66" s="1472"/>
      <c r="N66" s="1475"/>
      <c r="O66" s="1471" t="str">
        <f>IF(B66="","",INDEX('대기측정 분석결과서'!$Z$23:$Z$74,MATCH(B66,항목,0)))</f>
        <v/>
      </c>
      <c r="P66" s="1472"/>
      <c r="Q66" s="1472"/>
      <c r="R66" s="1475"/>
      <c r="S66" s="1486" t="str">
        <f>IF(B66="","",INDEX('대기측정 분석결과서'!$M$23:$M$74,MATCH(B66,항목,0)))</f>
        <v/>
      </c>
      <c r="T66" s="1487"/>
    </row>
    <row r="67" spans="1:30" ht="21.95" customHeight="1">
      <c r="A67" s="1568"/>
      <c r="B67" s="1469"/>
      <c r="C67" s="1469"/>
      <c r="D67" s="1469"/>
      <c r="E67" s="1470"/>
      <c r="F67" s="1471" t="str">
        <f t="shared" si="2"/>
        <v/>
      </c>
      <c r="G67" s="1472"/>
      <c r="H67" s="527" t="str">
        <f>IF(B67="","",INDEX('대기측정 분석결과서'!$AH$23:$AH$74,MATCH(B67,측정항목,0)))</f>
        <v/>
      </c>
      <c r="I67" s="1483" t="str">
        <f>IF(B67="","",
IF(INDEX('대기측정 분석결과서'!$F$23:$I$74,MATCH(B67,항목,0),1)="","값없음",
IF(ISERROR(FIXED(IF(INDEX('대기측정 분석결과서'!$F$23:$I$74,MATCH(B67,항목,0),1)&lt;INDEX('대기측정 분석결과서'!$AG$23:$AG$74,MATCH(B67,항목,0)),"불검출",
INDEX('대기측정 분석결과서'!$F$23:$I$74,MATCH(B67,항목,0),1)),INDEX('대기측정 분석결과서'!$AI$23:$AI$74,MATCH(B67,항목,0)))),"불검출",
FIXED(INDEX('대기측정 분석결과서'!$F$23:$I$74,MATCH(B67,항목,0),1),INDEX('대기측정 분석결과서'!$AI$23:$AI$74,MATCH(B67,항목,0))))))</f>
        <v/>
      </c>
      <c r="J67" s="1484"/>
      <c r="K67" s="1485"/>
      <c r="L67" s="1471" t="str">
        <f>IF(B67="","",
   IF(INDEX(Sheet1!$E$6:$F$51,MATCH(B67,Sheet1!$E$6:$E$51,0),2)="수은",
      '한종_시료채취기록지 '!$AG$20,
   IF(INDEX(Sheet1!$E$6:$F$51,MATCH(B67,Sheet1!$E$6:$E$51,0),2)="먼지",
      '한종_시료채취기록지 '!$Y$20,
   IF(INDEX(Sheet1!$E$6:$F$51,MATCH(B67,Sheet1!$E$6:$E$51,0),2)="THC",
      '한종_시료채취기록지 '!$AC$23,
   IF(INDEX(Sheet1!$E$6:$F$51,MATCH(B67,Sheet1!$E$6:$E$51,0),2)="매연",
      '한종_시료채취기록지 '!$AG$23,
   IF(INDEX(Sheet1!$E$6:$F$51,MATCH(B67,Sheet1!$E$6:$E$51,0),2)="옵티마",
      '한종_시료채취기록지 '!$Y$23,
   IF(INDEX(Sheet1!$E$6:$F$51,MATCH(B67,Sheet1!$E$6:$E$51,0),2)="중금속",
      '한종_시료채취기록지 '!$AC$20,
   IF(INDEX(Sheet1!$E$6:$F$51,MATCH(B67,Sheet1!$E$6:$E$51,0),2)="T",
    IFERROR(
         INDEX(가스상항목시간,MATCH("VOCs-T",가스상항목,0),5),
         INDEX(가스상항목시간,MATCH("VOCs-A",가스상항목,0),5)
      ),
   IF(INDEX(Sheet1!$E$6:$F$51,MATCH(B67,Sheet1!$E$6:$E$51,0),2)="A",
         INDEX(가스상항목시간,MATCH("VOCs-A",가스상항목,0),5),
   IF(INDEX(Sheet1!$E$6:$F$51,MATCH(B67,Sheet1!$E$6:$E$51,0),2)="DNPH",
      INDEX(가스상항목시간,MATCH("VOCs",가스상항목,0),5),
      INDEX(가스상항목시간,MATCH(B67,가스상항목,0),5)
   ))))))))))</f>
        <v/>
      </c>
      <c r="M67" s="1472"/>
      <c r="N67" s="1475"/>
      <c r="O67" s="1471" t="str">
        <f>IF(B67="","",INDEX('대기측정 분석결과서'!$Z$23:$Z$74,MATCH(B67,항목,0)))</f>
        <v/>
      </c>
      <c r="P67" s="1472"/>
      <c r="Q67" s="1472"/>
      <c r="R67" s="1475"/>
      <c r="S67" s="1486" t="str">
        <f>IF(B67="","",INDEX('대기측정 분석결과서'!$M$23:$M$74,MATCH(B67,항목,0)))</f>
        <v/>
      </c>
      <c r="T67" s="1487"/>
    </row>
    <row r="68" spans="1:30" ht="21.95" customHeight="1">
      <c r="A68" s="1568"/>
      <c r="B68" s="1469"/>
      <c r="C68" s="1469"/>
      <c r="D68" s="1469"/>
      <c r="E68" s="1470"/>
      <c r="F68" s="1471" t="str">
        <f t="shared" si="2"/>
        <v/>
      </c>
      <c r="G68" s="1472"/>
      <c r="H68" s="527" t="str">
        <f>IF(B68="","",INDEX('대기측정 분석결과서'!$AH$23:$AH$74,MATCH(B68,측정항목,0)))</f>
        <v/>
      </c>
      <c r="I68" s="1483" t="str">
        <f>IF(B68="","",
IF(INDEX('대기측정 분석결과서'!$F$23:$I$74,MATCH(B68,항목,0),1)="","값없음",
IF(ISERROR(FIXED(IF(INDEX('대기측정 분석결과서'!$F$23:$I$74,MATCH(B68,항목,0),1)&lt;INDEX('대기측정 분석결과서'!$AG$23:$AG$74,MATCH(B68,항목,0)),"불검출",
INDEX('대기측정 분석결과서'!$F$23:$I$74,MATCH(B68,항목,0),1)),INDEX('대기측정 분석결과서'!$AI$23:$AI$74,MATCH(B68,항목,0)))),"불검출",
FIXED(INDEX('대기측정 분석결과서'!$F$23:$I$74,MATCH(B68,항목,0),1),INDEX('대기측정 분석결과서'!$AI$23:$AI$74,MATCH(B68,항목,0))))))</f>
        <v/>
      </c>
      <c r="J68" s="1484"/>
      <c r="K68" s="1485"/>
      <c r="L68" s="1471" t="str">
        <f>IF(B68="","",
   IF(INDEX(Sheet1!$E$6:$F$51,MATCH(B68,Sheet1!$E$6:$E$51,0),2)="수은",
      '한종_시료채취기록지 '!$AG$20,
   IF(INDEX(Sheet1!$E$6:$F$51,MATCH(B68,Sheet1!$E$6:$E$51,0),2)="먼지",
      '한종_시료채취기록지 '!$Y$20,
   IF(INDEX(Sheet1!$E$6:$F$51,MATCH(B68,Sheet1!$E$6:$E$51,0),2)="THC",
      '한종_시료채취기록지 '!$AC$23,
   IF(INDEX(Sheet1!$E$6:$F$51,MATCH(B68,Sheet1!$E$6:$E$51,0),2)="매연",
      '한종_시료채취기록지 '!$AG$23,
   IF(INDEX(Sheet1!$E$6:$F$51,MATCH(B68,Sheet1!$E$6:$E$51,0),2)="옵티마",
      '한종_시료채취기록지 '!$Y$23,
   IF(INDEX(Sheet1!$E$6:$F$51,MATCH(B68,Sheet1!$E$6:$E$51,0),2)="중금속",
      '한종_시료채취기록지 '!$AC$20,
   IF(INDEX(Sheet1!$E$6:$F$51,MATCH(B68,Sheet1!$E$6:$E$51,0),2)="T",
    IFERROR(
         INDEX(가스상항목시간,MATCH("VOCs-T",가스상항목,0),5),
         INDEX(가스상항목시간,MATCH("VOCs-A",가스상항목,0),5)
      ),
   IF(INDEX(Sheet1!$E$6:$F$51,MATCH(B68,Sheet1!$E$6:$E$51,0),2)="A",
         INDEX(가스상항목시간,MATCH("VOCs-A",가스상항목,0),5),
   IF(INDEX(Sheet1!$E$6:$F$51,MATCH(B68,Sheet1!$E$6:$E$51,0),2)="DNPH",
      INDEX(가스상항목시간,MATCH("VOCs",가스상항목,0),5),
      INDEX(가스상항목시간,MATCH(B68,가스상항목,0),5)
   ))))))))))</f>
        <v/>
      </c>
      <c r="M68" s="1472"/>
      <c r="N68" s="1475"/>
      <c r="O68" s="1471" t="str">
        <f>IF(B68="","",INDEX('대기측정 분석결과서'!$Z$23:$Z$74,MATCH(B68,항목,0)))</f>
        <v/>
      </c>
      <c r="P68" s="1472"/>
      <c r="Q68" s="1472"/>
      <c r="R68" s="1475"/>
      <c r="S68" s="1486" t="str">
        <f>IF(B68="","",INDEX('대기측정 분석결과서'!$M$23:$M$74,MATCH(B68,항목,0)))</f>
        <v/>
      </c>
      <c r="T68" s="1487"/>
    </row>
    <row r="69" spans="1:30" ht="21.95" customHeight="1">
      <c r="A69" s="1568"/>
      <c r="B69" s="1469"/>
      <c r="C69" s="1469"/>
      <c r="D69" s="1469"/>
      <c r="E69" s="1470"/>
      <c r="F69" s="1471" t="str">
        <f t="shared" ref="F69" si="3">IF(B69="","","??")</f>
        <v/>
      </c>
      <c r="G69" s="1472"/>
      <c r="H69" s="527" t="str">
        <f>IF(B69="","",INDEX('대기측정 분석결과서'!$AH$23:$AH$74,MATCH(B69,측정항목,0)))</f>
        <v/>
      </c>
      <c r="I69" s="1483" t="str">
        <f>IF(B69="","",
IF(INDEX('대기측정 분석결과서'!$F$23:$I$74,MATCH(B69,항목,0),1)="","값없음",
IF(ISERROR(FIXED(IF(INDEX('대기측정 분석결과서'!$F$23:$I$74,MATCH(B69,항목,0),1)&lt;INDEX('대기측정 분석결과서'!$AG$23:$AG$74,MATCH(B69,항목,0)),"불검출",
INDEX('대기측정 분석결과서'!$F$23:$I$74,MATCH(B69,항목,0),1)),INDEX('대기측정 분석결과서'!$AI$23:$AI$74,MATCH(B69,항목,0)))),"불검출",
FIXED(INDEX('대기측정 분석결과서'!$F$23:$I$74,MATCH(B69,항목,0),1),INDEX('대기측정 분석결과서'!$AI$23:$AI$74,MATCH(B69,항목,0))))))</f>
        <v/>
      </c>
      <c r="J69" s="1484"/>
      <c r="K69" s="1485"/>
      <c r="L69" s="1471" t="str">
        <f>IF(B69="","",
   IF(INDEX(Sheet1!$E$6:$F$51,MATCH(B69,Sheet1!$E$6:$E$51,0),2)="수은",
      '한종_시료채취기록지 '!$AG$20,
   IF(INDEX(Sheet1!$E$6:$F$51,MATCH(B69,Sheet1!$E$6:$E$51,0),2)="먼지",
      '한종_시료채취기록지 '!$Y$20,
   IF(INDEX(Sheet1!$E$6:$F$51,MATCH(B69,Sheet1!$E$6:$E$51,0),2)="THC",
      '한종_시료채취기록지 '!$AC$23,
   IF(INDEX(Sheet1!$E$6:$F$51,MATCH(B69,Sheet1!$E$6:$E$51,0),2)="매연",
      '한종_시료채취기록지 '!$AG$23,
   IF(INDEX(Sheet1!$E$6:$F$51,MATCH(B69,Sheet1!$E$6:$E$51,0),2)="옵티마",
      '한종_시료채취기록지 '!$Y$23,
   IF(INDEX(Sheet1!$E$6:$F$51,MATCH(B69,Sheet1!$E$6:$E$51,0),2)="중금속",
      '한종_시료채취기록지 '!$AC$20,
   IF(INDEX(Sheet1!$E$6:$F$51,MATCH(B69,Sheet1!$E$6:$E$51,0),2)="T",
    IFERROR(
         INDEX(가스상항목시간,MATCH("VOCs-T",가스상항목,0),5),
         INDEX(가스상항목시간,MATCH("VOCs-A",가스상항목,0),5)
      ),
   IF(INDEX(Sheet1!$E$6:$F$51,MATCH(B69,Sheet1!$E$6:$E$51,0),2)="A",
         INDEX(가스상항목시간,MATCH("VOCs-A",가스상항목,0),5),
   IF(INDEX(Sheet1!$E$6:$F$51,MATCH(B69,Sheet1!$E$6:$E$51,0),2)="DNPH",
      INDEX(가스상항목시간,MATCH("VOCs",가스상항목,0),5),
      INDEX(가스상항목시간,MATCH(B69,가스상항목,0),5)
   ))))))))))</f>
        <v/>
      </c>
      <c r="M69" s="1472"/>
      <c r="N69" s="1475"/>
      <c r="O69" s="1471" t="str">
        <f>IF(B69="","",INDEX('대기측정 분석결과서'!$Z$23:$Z$74,MATCH(B69,항목,0)))</f>
        <v/>
      </c>
      <c r="P69" s="1472"/>
      <c r="Q69" s="1472"/>
      <c r="R69" s="1475"/>
      <c r="S69" s="1486" t="str">
        <f>IF(B69="","",INDEX('대기측정 분석결과서'!$M$23:$M$74,MATCH(B69,항목,0)))</f>
        <v/>
      </c>
      <c r="T69" s="1487"/>
    </row>
    <row r="70" spans="1:30" ht="21.95" customHeight="1">
      <c r="A70" s="1568"/>
      <c r="B70" s="1469"/>
      <c r="C70" s="1469"/>
      <c r="D70" s="1469"/>
      <c r="E70" s="1470"/>
      <c r="F70" s="1471" t="str">
        <f t="shared" si="2"/>
        <v/>
      </c>
      <c r="G70" s="1472"/>
      <c r="H70" s="527" t="str">
        <f>IF(B70="","",INDEX('대기측정 분석결과서'!$AH$23:$AH$74,MATCH(B70,측정항목,0)))</f>
        <v/>
      </c>
      <c r="I70" s="1483" t="str">
        <f>IF(B70="","",
IF(INDEX('대기측정 분석결과서'!$F$23:$I$74,MATCH(B70,항목,0),1)="","값없음",
IF(ISERROR(FIXED(IF(INDEX('대기측정 분석결과서'!$F$23:$I$74,MATCH(B70,항목,0),1)&lt;INDEX('대기측정 분석결과서'!$AG$23:$AG$74,MATCH(B70,항목,0)),"불검출",
INDEX('대기측정 분석결과서'!$F$23:$I$74,MATCH(B70,항목,0),1)),INDEX('대기측정 분석결과서'!$AI$23:$AI$74,MATCH(B70,항목,0)))),"불검출",
FIXED(INDEX('대기측정 분석결과서'!$F$23:$I$74,MATCH(B70,항목,0),1),INDEX('대기측정 분석결과서'!$AI$23:$AI$74,MATCH(B70,항목,0))))))</f>
        <v/>
      </c>
      <c r="J70" s="1484"/>
      <c r="K70" s="1485"/>
      <c r="L70" s="1471" t="str">
        <f>IF(B70="","",
   IF(INDEX(Sheet1!$E$6:$F$51,MATCH(B70,Sheet1!$E$6:$E$51,0),2)="수은",
      '한종_시료채취기록지 '!$AG$20,
   IF(INDEX(Sheet1!$E$6:$F$51,MATCH(B70,Sheet1!$E$6:$E$51,0),2)="먼지",
      '한종_시료채취기록지 '!$Y$20,
   IF(INDEX(Sheet1!$E$6:$F$51,MATCH(B70,Sheet1!$E$6:$E$51,0),2)="THC",
      '한종_시료채취기록지 '!$AC$23,
   IF(INDEX(Sheet1!$E$6:$F$51,MATCH(B70,Sheet1!$E$6:$E$51,0),2)="매연",
      '한종_시료채취기록지 '!$AG$23,
   IF(INDEX(Sheet1!$E$6:$F$51,MATCH(B70,Sheet1!$E$6:$E$51,0),2)="옵티마",
      '한종_시료채취기록지 '!$Y$23,
   IF(INDEX(Sheet1!$E$6:$F$51,MATCH(B70,Sheet1!$E$6:$E$51,0),2)="중금속",
      '한종_시료채취기록지 '!$AC$20,
   IF(INDEX(Sheet1!$E$6:$F$51,MATCH(B70,Sheet1!$E$6:$E$51,0),2)="T",
    IFERROR(
         INDEX(가스상항목시간,MATCH("VOCs-T",가스상항목,0),5),
         INDEX(가스상항목시간,MATCH("VOCs-A",가스상항목,0),5)
      ),
   IF(INDEX(Sheet1!$E$6:$F$51,MATCH(B70,Sheet1!$E$6:$E$51,0),2)="A",
         INDEX(가스상항목시간,MATCH("VOCs-A",가스상항목,0),5),
   IF(INDEX(Sheet1!$E$6:$F$51,MATCH(B70,Sheet1!$E$6:$E$51,0),2)="DNPH",
      INDEX(가스상항목시간,MATCH("VOCs",가스상항목,0),5),
      INDEX(가스상항목시간,MATCH(B70,가스상항목,0),5)
   ))))))))))</f>
        <v/>
      </c>
      <c r="M70" s="1472"/>
      <c r="N70" s="1475"/>
      <c r="O70" s="1471" t="str">
        <f>IF(B70="","",INDEX('대기측정 분석결과서'!$Z$23:$Z$74,MATCH(B70,항목,0)))</f>
        <v/>
      </c>
      <c r="P70" s="1472"/>
      <c r="Q70" s="1472"/>
      <c r="R70" s="1475"/>
      <c r="S70" s="1486" t="str">
        <f>IF(B70="","",INDEX('대기측정 분석결과서'!$M$23:$M$74,MATCH(B70,항목,0)))</f>
        <v/>
      </c>
      <c r="T70" s="1487"/>
    </row>
    <row r="71" spans="1:30" ht="17.25" customHeight="1">
      <c r="A71" s="1568"/>
      <c r="B71" s="1472" t="s">
        <v>506</v>
      </c>
      <c r="C71" s="1472"/>
      <c r="D71" s="1472"/>
      <c r="E71" s="1475"/>
      <c r="F71" s="1479" t="str">
        <f>'먼지측정 사전 Data'!H5</f>
        <v>2026-02-06 ~ 1900-01-00</v>
      </c>
      <c r="G71" s="1480"/>
      <c r="H71" s="1480"/>
      <c r="I71" s="1480"/>
      <c r="J71" s="1480"/>
      <c r="K71" s="1480"/>
      <c r="L71" s="1480"/>
      <c r="M71" s="1458" t="s">
        <v>1151</v>
      </c>
      <c r="N71" s="1459"/>
      <c r="O71" s="1459"/>
      <c r="P71" s="1460"/>
      <c r="Q71" s="783" t="s">
        <v>1186</v>
      </c>
      <c r="R71" s="784"/>
      <c r="S71" s="784"/>
      <c r="T71" s="785"/>
    </row>
    <row r="72" spans="1:30" ht="17.25" customHeight="1">
      <c r="A72" s="1569"/>
      <c r="B72" s="1477"/>
      <c r="C72" s="1477"/>
      <c r="D72" s="1477"/>
      <c r="E72" s="1478"/>
      <c r="F72" s="1481"/>
      <c r="G72" s="1482"/>
      <c r="H72" s="1482"/>
      <c r="I72" s="1482"/>
      <c r="J72" s="1482"/>
      <c r="K72" s="1482"/>
      <c r="L72" s="1482"/>
      <c r="M72" s="1458" t="s">
        <v>1152</v>
      </c>
      <c r="N72" s="1459"/>
      <c r="O72" s="1459"/>
      <c r="P72" s="1460"/>
      <c r="Q72" s="1458" t="s">
        <v>959</v>
      </c>
      <c r="R72" s="1459"/>
      <c r="S72" s="1459"/>
      <c r="T72" s="420" t="s">
        <v>500</v>
      </c>
    </row>
    <row r="73" spans="1:30" ht="16.5" customHeight="1">
      <c r="A73" s="1461" t="s">
        <v>591</v>
      </c>
      <c r="B73" s="1462"/>
      <c r="C73" s="1462"/>
      <c r="D73" s="1462"/>
      <c r="E73" s="1463"/>
      <c r="F73" s="388"/>
      <c r="G73" s="389"/>
      <c r="H73" s="389" t="s">
        <v>1154</v>
      </c>
      <c r="I73" s="389"/>
      <c r="J73" s="389"/>
      <c r="K73" s="421"/>
      <c r="L73" s="1464" t="s">
        <v>1183</v>
      </c>
      <c r="M73" s="1464"/>
      <c r="N73" s="1464"/>
      <c r="O73" s="1464"/>
      <c r="P73" s="1464"/>
      <c r="Q73" s="775" t="s">
        <v>1139</v>
      </c>
      <c r="R73" s="422"/>
      <c r="S73" s="389"/>
      <c r="T73" s="391"/>
    </row>
    <row r="74" spans="1:30" ht="15" customHeight="1">
      <c r="A74" s="1456" t="s">
        <v>616</v>
      </c>
      <c r="B74" s="1457"/>
      <c r="C74" s="1457"/>
      <c r="D74" s="1457"/>
      <c r="E74" s="1457"/>
      <c r="F74" s="1457"/>
      <c r="G74" s="1457"/>
      <c r="H74" s="1457"/>
      <c r="I74" s="1457"/>
      <c r="J74" s="1457"/>
      <c r="K74" s="1457"/>
      <c r="L74" s="1457"/>
      <c r="M74" s="1457"/>
      <c r="N74" s="1457"/>
      <c r="O74" s="1457"/>
      <c r="P74" s="1457"/>
      <c r="Q74" s="1457"/>
      <c r="R74" s="378"/>
      <c r="S74" s="378"/>
      <c r="T74" s="400"/>
    </row>
    <row r="75" spans="1:30" ht="15" customHeight="1">
      <c r="A75" s="397"/>
      <c r="B75" s="378"/>
      <c r="C75" s="378"/>
      <c r="D75" s="378"/>
      <c r="E75" s="378"/>
      <c r="F75" s="378"/>
      <c r="G75" s="378"/>
      <c r="H75" s="378"/>
      <c r="I75" s="378"/>
      <c r="J75" s="378"/>
      <c r="K75" s="1455">
        <f>YEAR('먼지측정 사전 Data'!R6)</f>
        <v>2026</v>
      </c>
      <c r="L75" s="1455"/>
      <c r="M75" s="423" t="s">
        <v>464</v>
      </c>
      <c r="N75" s="423"/>
      <c r="O75" s="399">
        <f>MONTH('먼지측정 사전 Data'!R6)</f>
        <v>2</v>
      </c>
      <c r="P75" s="423" t="s">
        <v>510</v>
      </c>
      <c r="Q75" s="423"/>
      <c r="R75" s="399">
        <f>DAY('먼지측정 사전 Data'!R6)</f>
        <v>13</v>
      </c>
      <c r="S75" s="423" t="s">
        <v>511</v>
      </c>
      <c r="T75" s="400"/>
      <c r="Y75" s="1606" t="s">
        <v>779</v>
      </c>
      <c r="Z75" s="1606"/>
      <c r="AA75" s="1606"/>
      <c r="AB75" s="1607"/>
      <c r="AC75" s="1608"/>
      <c r="AD75" s="1608"/>
    </row>
    <row r="76" spans="1:30" ht="15" customHeight="1">
      <c r="A76" s="397"/>
      <c r="B76" s="395"/>
      <c r="C76" s="1476" t="s">
        <v>942</v>
      </c>
      <c r="D76" s="1476"/>
      <c r="E76" s="1476"/>
      <c r="F76" s="1476"/>
      <c r="H76" s="1536" t="s">
        <v>820</v>
      </c>
      <c r="I76" s="1536"/>
      <c r="J76" s="1536"/>
      <c r="K76" s="1536"/>
      <c r="L76" s="1536"/>
      <c r="M76" s="1536"/>
      <c r="N76" s="1536"/>
      <c r="O76" s="1536"/>
      <c r="P76" s="1536"/>
      <c r="Q76" s="1536"/>
      <c r="R76" s="1536"/>
      <c r="S76" s="378"/>
      <c r="T76" s="400"/>
    </row>
    <row r="77" spans="1:30" ht="15" customHeight="1">
      <c r="A77" s="397"/>
      <c r="B77" s="395"/>
      <c r="C77" s="1476" t="s">
        <v>943</v>
      </c>
      <c r="D77" s="1476"/>
      <c r="E77" s="1476"/>
      <c r="F77" s="1476"/>
      <c r="H77" s="1550" t="s">
        <v>1066</v>
      </c>
      <c r="I77" s="1550"/>
      <c r="J77" s="1550"/>
      <c r="K77" s="1550"/>
      <c r="L77" s="1550"/>
      <c r="M77" s="1550"/>
      <c r="N77" s="1550"/>
      <c r="O77" s="1550"/>
      <c r="P77" s="1550"/>
      <c r="Q77" s="1550"/>
      <c r="R77" s="1550"/>
      <c r="S77" s="378"/>
      <c r="T77" s="400"/>
    </row>
    <row r="78" spans="1:30" ht="15" customHeight="1">
      <c r="A78" s="397"/>
      <c r="B78" s="395"/>
      <c r="C78" s="1476" t="s">
        <v>944</v>
      </c>
      <c r="D78" s="1476"/>
      <c r="E78" s="1476"/>
      <c r="F78" s="1476"/>
      <c r="H78" s="1536" t="s">
        <v>835</v>
      </c>
      <c r="I78" s="1536"/>
      <c r="J78" s="1536"/>
      <c r="K78" s="1536"/>
      <c r="L78" s="1536"/>
      <c r="M78" s="1536"/>
      <c r="N78" s="1536"/>
      <c r="O78" s="1536"/>
      <c r="P78" s="1536"/>
      <c r="Q78" s="1536"/>
      <c r="R78" s="1536"/>
      <c r="S78" s="524" t="s">
        <v>1153</v>
      </c>
      <c r="T78" s="425"/>
    </row>
    <row r="79" spans="1:30" ht="13.5" customHeight="1">
      <c r="A79" s="537" t="s">
        <v>1064</v>
      </c>
      <c r="B79" s="423"/>
      <c r="C79" s="423"/>
      <c r="D79" s="423"/>
      <c r="E79" s="423"/>
      <c r="F79" s="395"/>
      <c r="G79" s="538"/>
      <c r="H79" s="538"/>
      <c r="I79" s="538"/>
      <c r="J79" s="538"/>
      <c r="K79" s="538"/>
      <c r="L79" s="538"/>
      <c r="M79" s="538"/>
      <c r="N79" s="538"/>
      <c r="O79" s="423"/>
      <c r="P79" s="423"/>
      <c r="Q79" s="423"/>
      <c r="R79" s="539"/>
      <c r="S79" s="539"/>
      <c r="T79" s="540"/>
    </row>
    <row r="80" spans="1:30" ht="14.25" customHeight="1">
      <c r="A80" s="1449" t="s">
        <v>1062</v>
      </c>
      <c r="B80" s="1450"/>
      <c r="C80" s="1450"/>
      <c r="D80" s="1450"/>
      <c r="E80" s="1450"/>
      <c r="F80" s="1450"/>
      <c r="G80" s="1450"/>
      <c r="H80" s="1450"/>
      <c r="I80" s="1450"/>
      <c r="J80" s="1450"/>
      <c r="K80" s="1450"/>
      <c r="L80" s="1450"/>
      <c r="M80" s="1450"/>
      <c r="N80" s="1450"/>
      <c r="O80" s="1450"/>
      <c r="P80" s="1450"/>
      <c r="Q80" s="1450"/>
      <c r="R80" s="1450"/>
      <c r="S80" s="1450"/>
      <c r="T80" s="1451"/>
    </row>
    <row r="81" spans="1:20" ht="14.25" customHeight="1" thickBot="1">
      <c r="A81" s="1452" t="s">
        <v>592</v>
      </c>
      <c r="B81" s="1453"/>
      <c r="C81" s="1453"/>
      <c r="D81" s="1453"/>
      <c r="E81" s="1453"/>
      <c r="F81" s="1453"/>
      <c r="G81" s="1453"/>
      <c r="H81" s="1453"/>
      <c r="I81" s="1453"/>
      <c r="J81" s="1453"/>
      <c r="K81" s="1453"/>
      <c r="L81" s="1453"/>
      <c r="M81" s="1453"/>
      <c r="N81" s="1453"/>
      <c r="O81" s="1453"/>
      <c r="P81" s="1453"/>
      <c r="Q81" s="1453"/>
      <c r="R81" s="1453"/>
      <c r="S81" s="1453"/>
      <c r="T81" s="1454"/>
    </row>
    <row r="82" spans="1:20" ht="14.25" customHeight="1">
      <c r="A82" s="426"/>
    </row>
  </sheetData>
  <mergeCells count="438">
    <mergeCell ref="X39:Z39"/>
    <mergeCell ref="AA39:AC39"/>
    <mergeCell ref="Y75:AA75"/>
    <mergeCell ref="AB75:AD75"/>
    <mergeCell ref="AA20:AB21"/>
    <mergeCell ref="AC20:AD21"/>
    <mergeCell ref="AE20:AF21"/>
    <mergeCell ref="AG20:AH21"/>
    <mergeCell ref="AK20:AL21"/>
    <mergeCell ref="X38:Z38"/>
    <mergeCell ref="AA38:AC38"/>
    <mergeCell ref="W27:AO27"/>
    <mergeCell ref="AA18:AB18"/>
    <mergeCell ref="AC18:AD18"/>
    <mergeCell ref="AE18:AF18"/>
    <mergeCell ref="AK18:AL18"/>
    <mergeCell ref="AA19:AB19"/>
    <mergeCell ref="AC19:AD19"/>
    <mergeCell ref="AE19:AF19"/>
    <mergeCell ref="AG19:AI19"/>
    <mergeCell ref="AK19:AL19"/>
    <mergeCell ref="AA16:AB17"/>
    <mergeCell ref="AC16:AD17"/>
    <mergeCell ref="AE16:AF17"/>
    <mergeCell ref="AG16:AH17"/>
    <mergeCell ref="AI16:AJ17"/>
    <mergeCell ref="AK16:AL17"/>
    <mergeCell ref="AE14:AF14"/>
    <mergeCell ref="AG14:AH14"/>
    <mergeCell ref="AI14:AJ14"/>
    <mergeCell ref="AK14:AL14"/>
    <mergeCell ref="AA15:AB15"/>
    <mergeCell ref="AC15:AD15"/>
    <mergeCell ref="AE15:AF15"/>
    <mergeCell ref="AG15:AH15"/>
    <mergeCell ref="AI15:AJ15"/>
    <mergeCell ref="AK15:AL15"/>
    <mergeCell ref="W10:X11"/>
    <mergeCell ref="Y10:Z11"/>
    <mergeCell ref="AA10:AB11"/>
    <mergeCell ref="AC10:AD11"/>
    <mergeCell ref="AG10:AH11"/>
    <mergeCell ref="AI10:AJ11"/>
    <mergeCell ref="W9:X9"/>
    <mergeCell ref="Y9:Z9"/>
    <mergeCell ref="AA9:AB9"/>
    <mergeCell ref="AC9:AD9"/>
    <mergeCell ref="AG9:AH9"/>
    <mergeCell ref="AI9:AJ9"/>
    <mergeCell ref="W8:X8"/>
    <mergeCell ref="Y8:Z8"/>
    <mergeCell ref="AA8:AB8"/>
    <mergeCell ref="AC8:AD8"/>
    <mergeCell ref="AG8:AH8"/>
    <mergeCell ref="AI8:AJ8"/>
    <mergeCell ref="AI5:AJ5"/>
    <mergeCell ref="W6:X7"/>
    <mergeCell ref="Y6:Z7"/>
    <mergeCell ref="AA6:AB7"/>
    <mergeCell ref="AC6:AD7"/>
    <mergeCell ref="AE6:AF7"/>
    <mergeCell ref="AG6:AH7"/>
    <mergeCell ref="AI6:AJ7"/>
    <mergeCell ref="W5:X5"/>
    <mergeCell ref="Y5:Z5"/>
    <mergeCell ref="AA5:AB5"/>
    <mergeCell ref="AC5:AD5"/>
    <mergeCell ref="AE5:AF5"/>
    <mergeCell ref="AG5:AH5"/>
    <mergeCell ref="B69:E69"/>
    <mergeCell ref="F69:G69"/>
    <mergeCell ref="I69:K69"/>
    <mergeCell ref="L69:N69"/>
    <mergeCell ref="O69:R69"/>
    <mergeCell ref="S69:T69"/>
    <mergeCell ref="B70:E70"/>
    <mergeCell ref="F70:G70"/>
    <mergeCell ref="I70:K70"/>
    <mergeCell ref="L70:N70"/>
    <mergeCell ref="O70:R70"/>
    <mergeCell ref="S70:T70"/>
    <mergeCell ref="B68:E68"/>
    <mergeCell ref="F68:G68"/>
    <mergeCell ref="I68:K68"/>
    <mergeCell ref="L68:N68"/>
    <mergeCell ref="O68:R68"/>
    <mergeCell ref="S68:T68"/>
    <mergeCell ref="B67:E67"/>
    <mergeCell ref="F67:G67"/>
    <mergeCell ref="I67:K67"/>
    <mergeCell ref="L67:N67"/>
    <mergeCell ref="O67:R67"/>
    <mergeCell ref="S67:T67"/>
    <mergeCell ref="B66:E66"/>
    <mergeCell ref="F66:G66"/>
    <mergeCell ref="I66:K66"/>
    <mergeCell ref="L66:N66"/>
    <mergeCell ref="O66:R66"/>
    <mergeCell ref="S66:T66"/>
    <mergeCell ref="B65:E65"/>
    <mergeCell ref="F65:G65"/>
    <mergeCell ref="I65:K65"/>
    <mergeCell ref="L65:N65"/>
    <mergeCell ref="O65:R65"/>
    <mergeCell ref="S65:T65"/>
    <mergeCell ref="B64:E64"/>
    <mergeCell ref="F64:G64"/>
    <mergeCell ref="I64:K64"/>
    <mergeCell ref="L64:N64"/>
    <mergeCell ref="O64:R64"/>
    <mergeCell ref="S64:T64"/>
    <mergeCell ref="B63:E63"/>
    <mergeCell ref="F63:G63"/>
    <mergeCell ref="I63:K63"/>
    <mergeCell ref="L63:N63"/>
    <mergeCell ref="O63:R63"/>
    <mergeCell ref="S63:T63"/>
    <mergeCell ref="B62:E62"/>
    <mergeCell ref="F62:G62"/>
    <mergeCell ref="I62:K62"/>
    <mergeCell ref="L62:N62"/>
    <mergeCell ref="O62:R62"/>
    <mergeCell ref="S62:T62"/>
    <mergeCell ref="B61:E61"/>
    <mergeCell ref="F61:G61"/>
    <mergeCell ref="I61:K61"/>
    <mergeCell ref="L61:N61"/>
    <mergeCell ref="O61:R61"/>
    <mergeCell ref="S61:T61"/>
    <mergeCell ref="B60:E60"/>
    <mergeCell ref="F60:G60"/>
    <mergeCell ref="I60:K60"/>
    <mergeCell ref="L60:N60"/>
    <mergeCell ref="O60:R60"/>
    <mergeCell ref="S60:T60"/>
    <mergeCell ref="B59:E59"/>
    <mergeCell ref="F59:G59"/>
    <mergeCell ref="I59:K59"/>
    <mergeCell ref="L59:N59"/>
    <mergeCell ref="O59:R59"/>
    <mergeCell ref="S59:T59"/>
    <mergeCell ref="B58:E58"/>
    <mergeCell ref="F58:G58"/>
    <mergeCell ref="I58:K58"/>
    <mergeCell ref="L58:N58"/>
    <mergeCell ref="O58:R58"/>
    <mergeCell ref="S58:T58"/>
    <mergeCell ref="B57:E57"/>
    <mergeCell ref="F57:G57"/>
    <mergeCell ref="I57:K57"/>
    <mergeCell ref="L57:N57"/>
    <mergeCell ref="O57:R57"/>
    <mergeCell ref="S57:T57"/>
    <mergeCell ref="B56:E56"/>
    <mergeCell ref="F56:G56"/>
    <mergeCell ref="I56:K56"/>
    <mergeCell ref="L56:N56"/>
    <mergeCell ref="O56:R56"/>
    <mergeCell ref="S56:T56"/>
    <mergeCell ref="B55:E55"/>
    <mergeCell ref="F55:G55"/>
    <mergeCell ref="I55:K55"/>
    <mergeCell ref="L55:N55"/>
    <mergeCell ref="O55:R55"/>
    <mergeCell ref="S55:T55"/>
    <mergeCell ref="B54:E54"/>
    <mergeCell ref="F54:G54"/>
    <mergeCell ref="I54:K54"/>
    <mergeCell ref="L54:N54"/>
    <mergeCell ref="O54:R54"/>
    <mergeCell ref="S54:T54"/>
    <mergeCell ref="B53:E53"/>
    <mergeCell ref="F53:G53"/>
    <mergeCell ref="I53:K53"/>
    <mergeCell ref="L53:N53"/>
    <mergeCell ref="O53:R53"/>
    <mergeCell ref="S53:T53"/>
    <mergeCell ref="B49:E49"/>
    <mergeCell ref="F49:G49"/>
    <mergeCell ref="I49:K49"/>
    <mergeCell ref="L49:N49"/>
    <mergeCell ref="O49:R49"/>
    <mergeCell ref="S49:T49"/>
    <mergeCell ref="B52:E52"/>
    <mergeCell ref="F52:G52"/>
    <mergeCell ref="I52:K52"/>
    <mergeCell ref="L52:N52"/>
    <mergeCell ref="O52:R52"/>
    <mergeCell ref="S52:T52"/>
    <mergeCell ref="B51:E51"/>
    <mergeCell ref="F51:G51"/>
    <mergeCell ref="I51:K51"/>
    <mergeCell ref="L51:N51"/>
    <mergeCell ref="O51:R51"/>
    <mergeCell ref="S51:T51"/>
    <mergeCell ref="L46:N46"/>
    <mergeCell ref="O46:R46"/>
    <mergeCell ref="S46:T46"/>
    <mergeCell ref="A73:E73"/>
    <mergeCell ref="L73:P73"/>
    <mergeCell ref="A74:Q74"/>
    <mergeCell ref="B48:E48"/>
    <mergeCell ref="F48:G48"/>
    <mergeCell ref="I48:K48"/>
    <mergeCell ref="L48:N48"/>
    <mergeCell ref="O48:R48"/>
    <mergeCell ref="S48:T48"/>
    <mergeCell ref="B47:E47"/>
    <mergeCell ref="F47:G47"/>
    <mergeCell ref="I47:K47"/>
    <mergeCell ref="L47:N47"/>
    <mergeCell ref="O47:R47"/>
    <mergeCell ref="S47:T47"/>
    <mergeCell ref="B50:E50"/>
    <mergeCell ref="F50:G50"/>
    <mergeCell ref="I50:K50"/>
    <mergeCell ref="L50:N50"/>
    <mergeCell ref="O50:R50"/>
    <mergeCell ref="S50:T50"/>
    <mergeCell ref="K75:L75"/>
    <mergeCell ref="C76:F76"/>
    <mergeCell ref="H76:R76"/>
    <mergeCell ref="A44:A72"/>
    <mergeCell ref="B44:E45"/>
    <mergeCell ref="F44:H45"/>
    <mergeCell ref="C78:F78"/>
    <mergeCell ref="H78:R78"/>
    <mergeCell ref="A81:T81"/>
    <mergeCell ref="A80:T80"/>
    <mergeCell ref="C77:F77"/>
    <mergeCell ref="H77:R77"/>
    <mergeCell ref="M72:P72"/>
    <mergeCell ref="Q72:S72"/>
    <mergeCell ref="B71:E72"/>
    <mergeCell ref="F71:L72"/>
    <mergeCell ref="M71:P71"/>
    <mergeCell ref="I44:K45"/>
    <mergeCell ref="L44:N45"/>
    <mergeCell ref="O44:R45"/>
    <mergeCell ref="S44:T45"/>
    <mergeCell ref="B46:E46"/>
    <mergeCell ref="F46:G46"/>
    <mergeCell ref="I46:K46"/>
    <mergeCell ref="A43:T43"/>
    <mergeCell ref="O40:R40"/>
    <mergeCell ref="S40:T40"/>
    <mergeCell ref="A42:E42"/>
    <mergeCell ref="A24:A40"/>
    <mergeCell ref="B39:E39"/>
    <mergeCell ref="F39:G39"/>
    <mergeCell ref="I39:K39"/>
    <mergeCell ref="L39:N39"/>
    <mergeCell ref="O39:R39"/>
    <mergeCell ref="S39:T39"/>
    <mergeCell ref="B38:E38"/>
    <mergeCell ref="F38:G38"/>
    <mergeCell ref="I38:K38"/>
    <mergeCell ref="L38:N38"/>
    <mergeCell ref="O38:R38"/>
    <mergeCell ref="S38:T38"/>
    <mergeCell ref="O36:R36"/>
    <mergeCell ref="S36:T36"/>
    <mergeCell ref="B37:E37"/>
    <mergeCell ref="F37:G37"/>
    <mergeCell ref="I37:K37"/>
    <mergeCell ref="L37:N37"/>
    <mergeCell ref="O37:R37"/>
    <mergeCell ref="S37:T37"/>
    <mergeCell ref="O34:R34"/>
    <mergeCell ref="S34:T34"/>
    <mergeCell ref="B35:E35"/>
    <mergeCell ref="F35:G35"/>
    <mergeCell ref="I35:K35"/>
    <mergeCell ref="L35:N35"/>
    <mergeCell ref="O35:R35"/>
    <mergeCell ref="S35:T35"/>
    <mergeCell ref="B40:E40"/>
    <mergeCell ref="F40:G40"/>
    <mergeCell ref="I40:K40"/>
    <mergeCell ref="L40:N40"/>
    <mergeCell ref="B36:E36"/>
    <mergeCell ref="F36:G36"/>
    <mergeCell ref="I36:K36"/>
    <mergeCell ref="L36:N36"/>
    <mergeCell ref="B34:E34"/>
    <mergeCell ref="F34:G34"/>
    <mergeCell ref="I34:K34"/>
    <mergeCell ref="L34:N34"/>
    <mergeCell ref="B33:E33"/>
    <mergeCell ref="F33:G33"/>
    <mergeCell ref="I33:K33"/>
    <mergeCell ref="L33:N33"/>
    <mergeCell ref="O33:R33"/>
    <mergeCell ref="S33:T33"/>
    <mergeCell ref="B32:E32"/>
    <mergeCell ref="F32:G32"/>
    <mergeCell ref="I32:K32"/>
    <mergeCell ref="L32:N32"/>
    <mergeCell ref="O32:R32"/>
    <mergeCell ref="S32:T32"/>
    <mergeCell ref="S29:T29"/>
    <mergeCell ref="S27:T27"/>
    <mergeCell ref="B28:E28"/>
    <mergeCell ref="F28:G28"/>
    <mergeCell ref="I28:K28"/>
    <mergeCell ref="L28:N28"/>
    <mergeCell ref="O28:R28"/>
    <mergeCell ref="S28:T28"/>
    <mergeCell ref="B31:E31"/>
    <mergeCell ref="F31:G31"/>
    <mergeCell ref="I31:K31"/>
    <mergeCell ref="L31:N31"/>
    <mergeCell ref="O31:R31"/>
    <mergeCell ref="S31:T31"/>
    <mergeCell ref="B30:E30"/>
    <mergeCell ref="F30:G30"/>
    <mergeCell ref="I30:K30"/>
    <mergeCell ref="L30:N30"/>
    <mergeCell ref="O30:R30"/>
    <mergeCell ref="S30:T30"/>
    <mergeCell ref="B27:E27"/>
    <mergeCell ref="F27:G27"/>
    <mergeCell ref="I27:K27"/>
    <mergeCell ref="L27:N27"/>
    <mergeCell ref="O27:R27"/>
    <mergeCell ref="B29:E29"/>
    <mergeCell ref="F29:G29"/>
    <mergeCell ref="I29:K29"/>
    <mergeCell ref="L29:N29"/>
    <mergeCell ref="O29:R29"/>
    <mergeCell ref="B24:E25"/>
    <mergeCell ref="F24:H25"/>
    <mergeCell ref="I24:K25"/>
    <mergeCell ref="L24:N25"/>
    <mergeCell ref="O24:R25"/>
    <mergeCell ref="S24:T25"/>
    <mergeCell ref="B26:E26"/>
    <mergeCell ref="B23:E23"/>
    <mergeCell ref="F23:G23"/>
    <mergeCell ref="H23:I23"/>
    <mergeCell ref="J23:K23"/>
    <mergeCell ref="L23:M23"/>
    <mergeCell ref="N23:O23"/>
    <mergeCell ref="F26:G26"/>
    <mergeCell ref="I26:K26"/>
    <mergeCell ref="L26:N26"/>
    <mergeCell ref="O26:R26"/>
    <mergeCell ref="S26:T26"/>
    <mergeCell ref="A21:A23"/>
    <mergeCell ref="B21:E22"/>
    <mergeCell ref="F21:Q21"/>
    <mergeCell ref="R21:T22"/>
    <mergeCell ref="F22:G22"/>
    <mergeCell ref="H22:I22"/>
    <mergeCell ref="J22:K22"/>
    <mergeCell ref="L22:M22"/>
    <mergeCell ref="N22:O22"/>
    <mergeCell ref="P22:Q22"/>
    <mergeCell ref="P23:Q23"/>
    <mergeCell ref="R23:T23"/>
    <mergeCell ref="B19:E20"/>
    <mergeCell ref="F19:G19"/>
    <mergeCell ref="H19:L19"/>
    <mergeCell ref="F20:G20"/>
    <mergeCell ref="H20:L20"/>
    <mergeCell ref="B17:E18"/>
    <mergeCell ref="F17:L17"/>
    <mergeCell ref="M17:Q17"/>
    <mergeCell ref="R17:T17"/>
    <mergeCell ref="F18:L18"/>
    <mergeCell ref="M18:Q18"/>
    <mergeCell ref="R18:S18"/>
    <mergeCell ref="Q19:T19"/>
    <mergeCell ref="Q20:T20"/>
    <mergeCell ref="M19:P20"/>
    <mergeCell ref="B13:E16"/>
    <mergeCell ref="F13:H13"/>
    <mergeCell ref="I13:L13"/>
    <mergeCell ref="M13:Q13"/>
    <mergeCell ref="R13:T13"/>
    <mergeCell ref="F14:H14"/>
    <mergeCell ref="I14:L14"/>
    <mergeCell ref="M14:Q14"/>
    <mergeCell ref="R14:T14"/>
    <mergeCell ref="F15:H15"/>
    <mergeCell ref="P12:R12"/>
    <mergeCell ref="S12:T12"/>
    <mergeCell ref="O9:R9"/>
    <mergeCell ref="S9:T9"/>
    <mergeCell ref="I15:L15"/>
    <mergeCell ref="M15:Q15"/>
    <mergeCell ref="R15:T15"/>
    <mergeCell ref="F16:H16"/>
    <mergeCell ref="I16:L16"/>
    <mergeCell ref="M16:Q16"/>
    <mergeCell ref="R16:T16"/>
    <mergeCell ref="B10:E10"/>
    <mergeCell ref="F10:T10"/>
    <mergeCell ref="A11:A20"/>
    <mergeCell ref="B11:E12"/>
    <mergeCell ref="F11:G11"/>
    <mergeCell ref="H11:I11"/>
    <mergeCell ref="J11:L11"/>
    <mergeCell ref="M11:O11"/>
    <mergeCell ref="A7:A10"/>
    <mergeCell ref="B7:E7"/>
    <mergeCell ref="F7:T7"/>
    <mergeCell ref="B8:E9"/>
    <mergeCell ref="F8:L8"/>
    <mergeCell ref="M8:N8"/>
    <mergeCell ref="O8:R8"/>
    <mergeCell ref="S8:T8"/>
    <mergeCell ref="F9:L9"/>
    <mergeCell ref="M9:N9"/>
    <mergeCell ref="P11:R11"/>
    <mergeCell ref="S11:T11"/>
    <mergeCell ref="F12:G12"/>
    <mergeCell ref="H12:I12"/>
    <mergeCell ref="J12:L12"/>
    <mergeCell ref="M12:O12"/>
    <mergeCell ref="M4:O4"/>
    <mergeCell ref="P4:T4"/>
    <mergeCell ref="B5:E5"/>
    <mergeCell ref="F5:K5"/>
    <mergeCell ref="M5:O6"/>
    <mergeCell ref="P5:T6"/>
    <mergeCell ref="B6:E6"/>
    <mergeCell ref="F6:K6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</mergeCells>
  <phoneticPr fontId="2" type="noConversion"/>
  <conditionalFormatting sqref="A13:B13 A14:A16 I14:I16">
    <cfRule type="cellIs" dxfId="54" priority="48" operator="equal">
      <formula>"값없음"</formula>
    </cfRule>
  </conditionalFormatting>
  <conditionalFormatting sqref="A1:T7 M8 O8 S8:S9 A8:F12 H11:H12 J11:J12 M11:M12 P11:P12 S11:S12 M16:M17 A17:F18 R17:T18 A19:B19 F19:F20 H19:H20 A20 A21:T24 B25:T25 F26:F41 H26:I41 S26:S41">
    <cfRule type="cellIs" dxfId="53" priority="52" operator="equal">
      <formula>"값없음"</formula>
    </cfRule>
  </conditionalFormatting>
  <conditionalFormatting sqref="A42:T43">
    <cfRule type="cellIs" dxfId="52" priority="35" operator="equal">
      <formula>"값없음"</formula>
    </cfRule>
  </conditionalFormatting>
  <conditionalFormatting sqref="A73:T75 A76:B78">
    <cfRule type="cellIs" dxfId="51" priority="24" operator="equal">
      <formula>"값없음"</formula>
    </cfRule>
  </conditionalFormatting>
  <conditionalFormatting sqref="A79:T81">
    <cfRule type="cellIs" dxfId="50" priority="23" operator="equal">
      <formula>"값없음"</formula>
    </cfRule>
  </conditionalFormatting>
  <conditionalFormatting sqref="B26:B41">
    <cfRule type="cellIs" dxfId="49" priority="15" operator="equal">
      <formula>"값없음"</formula>
    </cfRule>
  </conditionalFormatting>
  <conditionalFormatting sqref="B46:B71">
    <cfRule type="cellIs" dxfId="48" priority="14" operator="equal">
      <formula>"값없음"</formula>
    </cfRule>
  </conditionalFormatting>
  <conditionalFormatting sqref="B44:T45">
    <cfRule type="cellIs" dxfId="47" priority="7" operator="equal">
      <formula>"값없음"</formula>
    </cfRule>
  </conditionalFormatting>
  <conditionalFormatting sqref="C76:F78">
    <cfRule type="cellIs" dxfId="46" priority="21" operator="equal">
      <formula>"값없음"</formula>
    </cfRule>
  </conditionalFormatting>
  <conditionalFormatting sqref="F13:F16">
    <cfRule type="cellIs" dxfId="45" priority="44" operator="equal">
      <formula>"값없음"</formula>
    </cfRule>
  </conditionalFormatting>
  <conditionalFormatting sqref="F46:F71">
    <cfRule type="cellIs" dxfId="44" priority="8" operator="equal">
      <formula>"값없음"</formula>
    </cfRule>
  </conditionalFormatting>
  <conditionalFormatting sqref="H76:H78">
    <cfRule type="cellIs" dxfId="43" priority="18" operator="equal">
      <formula>"값없음"</formula>
    </cfRule>
  </conditionalFormatting>
  <conditionalFormatting sqref="H46:I70">
    <cfRule type="cellIs" dxfId="42" priority="9" operator="equal">
      <formula>"값없음"</formula>
    </cfRule>
  </conditionalFormatting>
  <conditionalFormatting sqref="L26:L41">
    <cfRule type="cellIs" dxfId="41" priority="3" operator="equal">
      <formula>"값없음"</formula>
    </cfRule>
  </conditionalFormatting>
  <conditionalFormatting sqref="L46:L70">
    <cfRule type="cellIs" dxfId="40" priority="2" operator="equal">
      <formula>"값없음"</formula>
    </cfRule>
  </conditionalFormatting>
  <conditionalFormatting sqref="M19">
    <cfRule type="cellIs" dxfId="39" priority="43" operator="equal">
      <formula>"값없음"</formula>
    </cfRule>
  </conditionalFormatting>
  <conditionalFormatting sqref="M71:P72">
    <cfRule type="cellIs" dxfId="38" priority="29" operator="equal">
      <formula>"값없음"</formula>
    </cfRule>
  </conditionalFormatting>
  <conditionalFormatting sqref="O26:O41">
    <cfRule type="cellIs" dxfId="37" priority="50" operator="equal">
      <formula>"값없음"</formula>
    </cfRule>
  </conditionalFormatting>
  <conditionalFormatting sqref="O46:O70">
    <cfRule type="cellIs" dxfId="36" priority="12" operator="equal">
      <formula>"값없음"</formula>
    </cfRule>
  </conditionalFormatting>
  <conditionalFormatting sqref="Q71:Q72 T71:T72">
    <cfRule type="cellIs" dxfId="35" priority="28" operator="equal">
      <formula>"값없음"</formula>
    </cfRule>
  </conditionalFormatting>
  <conditionalFormatting sqref="R13:R16">
    <cfRule type="cellIs" dxfId="34" priority="47" operator="equal">
      <formula>"값없음"</formula>
    </cfRule>
  </conditionalFormatting>
  <conditionalFormatting sqref="S46:S70">
    <cfRule type="cellIs" dxfId="33" priority="13" operator="equal">
      <formula>"값없음"</formula>
    </cfRule>
  </conditionalFormatting>
  <conditionalFormatting sqref="S76:T78">
    <cfRule type="cellIs" dxfId="32" priority="20" operator="equal">
      <formula>"값없음"</formula>
    </cfRule>
  </conditionalFormatting>
  <conditionalFormatting sqref="U34:U35">
    <cfRule type="cellIs" dxfId="31" priority="51" operator="equal">
      <formula>"값없음"</formula>
    </cfRule>
  </conditionalFormatting>
  <conditionalFormatting sqref="V33">
    <cfRule type="cellIs" dxfId="30" priority="6" operator="equal">
      <formula>"값없음"</formula>
    </cfRule>
  </conditionalFormatting>
  <conditionalFormatting sqref="W27">
    <cfRule type="cellIs" dxfId="29" priority="1" operator="equal">
      <formula>"값없음"</formula>
    </cfRule>
  </conditionalFormatting>
  <dataValidations disablePrompts="1" count="2">
    <dataValidation type="list" allowBlank="1" showInputMessage="1" showErrorMessage="1" sqref="B26:E41 B46:E70" xr:uid="{0445E570-FD8C-4F4B-BCBA-BEC7A4028DB1}">
      <formula1>항목</formula1>
    </dataValidation>
    <dataValidation type="list" allowBlank="1" showInputMessage="1" showErrorMessage="1" sqref="L73:P73" xr:uid="{5845795E-944A-43C3-9266-431A1023DE4D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4" orientation="portrait" r:id="rId1"/>
  <headerFooter scaleWithDoc="0">
    <oddHeader>&amp;C
&amp;G</oddHeader>
    <oddFooter>&amp;L&amp;"Malgun Gothic Semilight,보통"&amp;9fKET-A-QP-17-02-01(2)&amp;"굴림체,보통"                                                &amp;C&amp;9총 2페이지 중 &amp;P페이지&amp;R&amp;"돋움,굵게"&amp;9&amp;G</oddFooter>
  </headerFooter>
  <rowBreaks count="1" manualBreakCount="1">
    <brk id="41" max="19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85C2-B265-4FF8-A0F5-F3AC30DFD81C}">
  <sheetPr>
    <tabColor theme="3" tint="-0.249977111117893"/>
  </sheetPr>
  <dimension ref="A1:AO46"/>
  <sheetViews>
    <sheetView view="pageBreakPreview" topLeftCell="A21" zoomScaleNormal="100" zoomScaleSheetLayoutView="100" workbookViewId="0">
      <selection activeCell="F10" sqref="F10:T10"/>
    </sheetView>
  </sheetViews>
  <sheetFormatPr defaultColWidth="9" defaultRowHeight="16.899999999999999"/>
  <cols>
    <col min="1" max="1" width="2.875" style="427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0" width="5.375" style="54" customWidth="1"/>
    <col min="11" max="11" width="5.5" style="54" customWidth="1"/>
    <col min="12" max="12" width="3" style="54" bestFit="1" customWidth="1"/>
    <col min="13" max="13" width="4.625" style="54" customWidth="1"/>
    <col min="14" max="14" width="5.5" style="54" customWidth="1"/>
    <col min="15" max="15" width="4.75" style="54" customWidth="1"/>
    <col min="16" max="16" width="1.75" style="54" customWidth="1"/>
    <col min="17" max="17" width="3.625" style="54" customWidth="1"/>
    <col min="18" max="18" width="5.5" style="54" customWidth="1"/>
    <col min="19" max="19" width="3.625" style="54" customWidth="1"/>
    <col min="20" max="20" width="12.5" style="54" customWidth="1"/>
    <col min="21" max="21" width="5.625" style="54" customWidth="1"/>
    <col min="22" max="27" width="4.5" style="54" customWidth="1"/>
    <col min="28" max="28" width="4.625" style="54" customWidth="1"/>
    <col min="29" max="33" width="4.5" style="54" customWidth="1"/>
    <col min="34" max="35" width="4.125" style="54" customWidth="1"/>
    <col min="36" max="16384" width="9" style="54"/>
  </cols>
  <sheetData>
    <row r="1" spans="1:41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922" t="str">
        <f>"접수번호 : KGAR-"&amp;RIGHT(YEAR('먼지측정 사전 Data'!N6),2)&amp;"-"&amp;'먼지측정 사전 Data'!O4</f>
        <v>접수번호 : KGAR-26-</v>
      </c>
      <c r="U1" s="54"/>
    </row>
    <row r="2" spans="1:41" ht="40.5" customHeight="1" thickBot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</row>
    <row r="3" spans="1:41" ht="17.100000000000001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  <c r="W3" s="554" t="s">
        <v>1079</v>
      </c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5"/>
      <c r="AL3" s="782"/>
    </row>
    <row r="4" spans="1:41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1142</v>
      </c>
      <c r="N4" s="1466"/>
      <c r="O4" s="1467"/>
      <c r="P4" s="1465" t="str">
        <f>IF('대기측정 분석결과서'!E12="",B25,'대기측정 분석결과서'!E12)</f>
        <v>건조시설 (전착)</v>
      </c>
      <c r="Q4" s="1466"/>
      <c r="R4" s="1466"/>
      <c r="S4" s="1466"/>
      <c r="T4" s="1530"/>
      <c r="W4" s="1573" t="s">
        <v>609</v>
      </c>
      <c r="X4" s="1573"/>
      <c r="Y4" s="1573" t="s">
        <v>631</v>
      </c>
      <c r="Z4" s="1573"/>
      <c r="AA4" s="1573" t="s">
        <v>632</v>
      </c>
      <c r="AB4" s="1573"/>
      <c r="AC4" s="1573" t="s">
        <v>740</v>
      </c>
      <c r="AD4" s="1573"/>
      <c r="AE4" s="1573" t="s">
        <v>883</v>
      </c>
      <c r="AF4" s="1573"/>
      <c r="AG4" s="1573" t="s">
        <v>1070</v>
      </c>
      <c r="AH4" s="1573"/>
      <c r="AI4" s="1573" t="s">
        <v>1141</v>
      </c>
      <c r="AJ4" s="1573"/>
      <c r="AK4" s="404" t="s">
        <v>634</v>
      </c>
      <c r="AL4" s="403" t="s">
        <v>633</v>
      </c>
      <c r="AM4" s="410" t="s">
        <v>1224</v>
      </c>
    </row>
    <row r="5" spans="1:41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845</v>
      </c>
      <c r="N5" s="1515"/>
      <c r="O5" s="1532"/>
      <c r="P5" s="1531" t="str">
        <f>'대기측정 분석결과서'!E10&amp;" 종"</f>
        <v xml:space="preserve"> 종</v>
      </c>
      <c r="Q5" s="1515"/>
      <c r="R5" s="1515"/>
      <c r="S5" s="1515"/>
      <c r="T5" s="151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1566"/>
      <c r="AK5" s="405"/>
      <c r="AL5" s="405"/>
      <c r="AM5" s="405"/>
    </row>
    <row r="6" spans="1:41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W6" s="1566"/>
      <c r="X6" s="1566"/>
      <c r="Y6" s="1566"/>
      <c r="Z6" s="1566"/>
      <c r="AA6" s="1566"/>
      <c r="AB6" s="1566"/>
      <c r="AC6" s="1566"/>
      <c r="AD6" s="1566"/>
      <c r="AE6" s="1566"/>
      <c r="AF6" s="1566"/>
      <c r="AG6" s="1574"/>
      <c r="AH6" s="1574"/>
      <c r="AI6" s="1566"/>
      <c r="AJ6" s="1566"/>
      <c r="AK6" s="406"/>
      <c r="AL6" s="406"/>
      <c r="AM6" s="406"/>
    </row>
    <row r="7" spans="1:41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W7" s="1573" t="s">
        <v>608</v>
      </c>
      <c r="X7" s="1573"/>
      <c r="Y7" s="1573" t="s">
        <v>1078</v>
      </c>
      <c r="Z7" s="1573"/>
      <c r="AA7" s="1573"/>
      <c r="AB7" s="1573"/>
      <c r="AC7" s="1573" t="s">
        <v>733</v>
      </c>
      <c r="AD7" s="1573"/>
      <c r="AE7" s="378"/>
      <c r="AF7" s="378"/>
      <c r="AG7" s="1575"/>
      <c r="AH7" s="1576"/>
      <c r="AI7" s="1575"/>
      <c r="AJ7" s="1576"/>
      <c r="AK7" s="407"/>
      <c r="AL7" s="408"/>
    </row>
    <row r="8" spans="1:41" ht="17.100000000000001" customHeight="1" thickTop="1" thickBot="1">
      <c r="A8" s="1489"/>
      <c r="B8" s="1491" t="s">
        <v>1166</v>
      </c>
      <c r="C8" s="1472"/>
      <c r="D8" s="1472"/>
      <c r="E8" s="1475"/>
      <c r="F8" s="1458" t="s">
        <v>1143</v>
      </c>
      <c r="G8" s="1459"/>
      <c r="H8" s="1459"/>
      <c r="I8" s="1459"/>
      <c r="J8" s="1459"/>
      <c r="K8" s="1459"/>
      <c r="L8" s="1460"/>
      <c r="M8" s="1511" t="s">
        <v>1165</v>
      </c>
      <c r="N8" s="1511"/>
      <c r="O8" s="1511" t="s">
        <v>1164</v>
      </c>
      <c r="P8" s="1511"/>
      <c r="Q8" s="1511"/>
      <c r="R8" s="1511"/>
      <c r="S8" s="1551" t="s">
        <v>1163</v>
      </c>
      <c r="T8" s="1504"/>
      <c r="W8" s="1573" t="s">
        <v>823</v>
      </c>
      <c r="X8" s="1573"/>
      <c r="Y8" s="1573" t="s">
        <v>1068</v>
      </c>
      <c r="Z8" s="1573"/>
      <c r="AA8" s="1573"/>
      <c r="AB8" s="1573"/>
      <c r="AC8" s="1573" t="s">
        <v>1068</v>
      </c>
      <c r="AD8" s="1573"/>
      <c r="AE8" s="378"/>
      <c r="AF8" s="378"/>
      <c r="AG8" s="1577" t="s">
        <v>1073</v>
      </c>
      <c r="AH8" s="1578"/>
      <c r="AI8" s="1577" t="s">
        <v>822</v>
      </c>
      <c r="AJ8" s="1578"/>
      <c r="AK8" s="410" t="s">
        <v>1074</v>
      </c>
      <c r="AL8" s="411"/>
    </row>
    <row r="9" spans="1:41" ht="17.100000000000001" customHeight="1" thickTop="1" thickBot="1">
      <c r="A9" s="1489"/>
      <c r="B9" s="1490"/>
      <c r="C9" s="1477"/>
      <c r="D9" s="1477"/>
      <c r="E9" s="1478"/>
      <c r="F9" s="1458" t="s">
        <v>1277</v>
      </c>
      <c r="G9" s="1459"/>
      <c r="H9" s="1459"/>
      <c r="I9" s="1459"/>
      <c r="J9" s="1459"/>
      <c r="K9" s="1459"/>
      <c r="L9" s="1459"/>
      <c r="M9" s="1619" t="str">
        <f>'한종_시료채취기록지 '!N3&amp;" m"</f>
        <v>0 m</v>
      </c>
      <c r="N9" s="1619"/>
      <c r="O9" s="1511" t="str">
        <f>IF(LEN('한종_시료채취기록지 '!F9)=1,'한종_시료채취기록지 '!F9&amp;".000  m",
IF(LEN('한종_시료채취기록지 '!F9)=3,'한종_시료채취기록지 '!F9&amp;"00  m",
IF(LEN('한종_시료채취기록지 '!F9)=4,'한종_시료채취기록지 '!F9&amp;"0  m",
'한종_시료채취기록지 '!F9&amp;"  m")))</f>
        <v>0.000 X 0.000  m</v>
      </c>
      <c r="P9" s="1511"/>
      <c r="Q9" s="1511"/>
      <c r="R9" s="1511"/>
      <c r="S9" s="1503" t="str">
        <f>'대기측정 분석결과서'!E11&amp;" 종"</f>
        <v xml:space="preserve"> 종</v>
      </c>
      <c r="T9" s="1504"/>
      <c r="W9" s="1566"/>
      <c r="X9" s="1566"/>
      <c r="Y9" s="1566"/>
      <c r="Z9" s="1566"/>
      <c r="AA9" s="1566"/>
      <c r="AB9" s="1566"/>
      <c r="AC9" s="1566"/>
      <c r="AD9" s="1566"/>
      <c r="AE9" s="378"/>
      <c r="AF9" s="378"/>
      <c r="AG9" s="1579"/>
      <c r="AH9" s="1580"/>
      <c r="AI9" s="1579"/>
      <c r="AJ9" s="1580"/>
      <c r="AK9" s="405"/>
      <c r="AL9" s="378"/>
    </row>
    <row r="10" spans="1:41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W10" s="1566"/>
      <c r="X10" s="1566"/>
      <c r="Y10" s="1566"/>
      <c r="Z10" s="1566"/>
      <c r="AA10" s="1566"/>
      <c r="AB10" s="1566"/>
      <c r="AC10" s="1566"/>
      <c r="AD10" s="1566"/>
      <c r="AE10" s="378"/>
      <c r="AF10" s="378"/>
      <c r="AG10" s="1581"/>
      <c r="AH10" s="1582"/>
      <c r="AI10" s="1581"/>
      <c r="AJ10" s="1582"/>
      <c r="AK10" s="406"/>
      <c r="AL10" s="378"/>
    </row>
    <row r="11" spans="1:41" ht="18.600000000000001" customHeight="1" thickTop="1">
      <c r="A11" s="1488" t="s">
        <v>348</v>
      </c>
      <c r="B11" s="1473" t="s">
        <v>349</v>
      </c>
      <c r="C11" s="1473"/>
      <c r="D11" s="1473"/>
      <c r="E11" s="1473"/>
      <c r="F11" s="1458" t="s">
        <v>1144</v>
      </c>
      <c r="G11" s="1460"/>
      <c r="H11" s="1458" t="s">
        <v>1162</v>
      </c>
      <c r="I11" s="1460"/>
      <c r="J11" s="1458" t="s">
        <v>1161</v>
      </c>
      <c r="K11" s="1459"/>
      <c r="L11" s="1460"/>
      <c r="M11" s="1458" t="s">
        <v>1160</v>
      </c>
      <c r="N11" s="1459"/>
      <c r="O11" s="1460"/>
      <c r="P11" s="1458" t="s">
        <v>1159</v>
      </c>
      <c r="Q11" s="1459"/>
      <c r="R11" s="1460"/>
      <c r="S11" s="1459" t="s">
        <v>1233</v>
      </c>
      <c r="T11" s="1519"/>
      <c r="W11" s="54" t="s">
        <v>1188</v>
      </c>
    </row>
    <row r="12" spans="1:41" ht="18.600000000000001" customHeight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1557">
        <f>'대기측정 분석결과서'!I17</f>
        <v>0</v>
      </c>
      <c r="I12" s="1558"/>
      <c r="J12" s="1559">
        <f>'대기측정 분석결과서'!M17</f>
        <v>0</v>
      </c>
      <c r="K12" s="1560"/>
      <c r="L12" s="1561"/>
      <c r="M12" s="1559">
        <f>'대기측정 분석결과서'!Q17</f>
        <v>0</v>
      </c>
      <c r="N12" s="1560"/>
      <c r="O12" s="1561"/>
      <c r="P12" s="1559">
        <f>'대기측정 분석결과서'!V17</f>
        <v>0</v>
      </c>
      <c r="Q12" s="1560"/>
      <c r="R12" s="1561"/>
      <c r="S12" s="1560">
        <f>'대기측정 분석결과서'!AA17</f>
        <v>0</v>
      </c>
      <c r="T12" s="1562"/>
      <c r="AE12"/>
      <c r="AL12" s="417"/>
    </row>
    <row r="13" spans="1:41" customFormat="1" ht="18.600000000000001" customHeight="1">
      <c r="A13" s="1489"/>
      <c r="B13" s="1537" t="s">
        <v>461</v>
      </c>
      <c r="C13" s="1538"/>
      <c r="D13" s="1538"/>
      <c r="E13" s="1539"/>
      <c r="F13" s="1512" t="s">
        <v>952</v>
      </c>
      <c r="G13" s="1513"/>
      <c r="H13" s="1546"/>
      <c r="I13" s="1512" t="s">
        <v>1158</v>
      </c>
      <c r="J13" s="1513"/>
      <c r="K13" s="1513"/>
      <c r="L13" s="1546"/>
      <c r="M13" s="1512" t="s">
        <v>1145</v>
      </c>
      <c r="N13" s="1513"/>
      <c r="O13" s="1513"/>
      <c r="P13" s="1513"/>
      <c r="Q13" s="1546"/>
      <c r="R13" s="1513" t="s">
        <v>1146</v>
      </c>
      <c r="S13" s="1513"/>
      <c r="T13" s="1514"/>
      <c r="AA13" s="553"/>
      <c r="AB13" s="553"/>
      <c r="AC13" s="553"/>
      <c r="AD13" s="553"/>
      <c r="AE13" s="1583"/>
      <c r="AF13" s="1583"/>
      <c r="AG13" s="1583"/>
      <c r="AH13" s="1583"/>
      <c r="AI13" s="1583"/>
      <c r="AJ13" s="1583"/>
      <c r="AK13" s="1583"/>
      <c r="AL13" s="1583"/>
    </row>
    <row r="14" spans="1:41" customFormat="1" ht="18.600000000000001" customHeight="1">
      <c r="A14" s="1489"/>
      <c r="B14" s="1540"/>
      <c r="C14" s="1541"/>
      <c r="D14" s="1541"/>
      <c r="E14" s="1542"/>
      <c r="F14" s="1512" t="str">
        <f>IF('먼지측정 사전 Data'!R13=20.9,"-",'먼지측정 사전 Data'!R13&amp;" %")</f>
        <v>-</v>
      </c>
      <c r="G14" s="1513"/>
      <c r="H14" s="1546"/>
      <c r="I14" s="1512" t="str">
        <f>'먼지측정 사전 Data'!H14&amp;" %"</f>
        <v>0 %</v>
      </c>
      <c r="J14" s="1513"/>
      <c r="K14" s="1513"/>
      <c r="L14" s="1546"/>
      <c r="M14" s="1512" t="e">
        <f>'시험일지(계산일지-2)'!R11&amp;" S㎥/분"</f>
        <v>#DIV/0!</v>
      </c>
      <c r="N14" s="1513"/>
      <c r="O14" s="1513"/>
      <c r="P14" s="1513"/>
      <c r="Q14" s="1546"/>
      <c r="R14" s="1513" t="e">
        <f>'시험일지(계산일지-2)'!Q21&amp;" S㎥/분"</f>
        <v>#DIV/0!</v>
      </c>
      <c r="S14" s="1513"/>
      <c r="T14" s="1514"/>
      <c r="W14" s="48"/>
      <c r="AA14" s="1583"/>
      <c r="AB14" s="1583"/>
      <c r="AC14" s="1583"/>
      <c r="AD14" s="1583"/>
      <c r="AE14" s="1583"/>
      <c r="AF14" s="1583"/>
      <c r="AG14" s="1583"/>
      <c r="AH14" s="1583"/>
      <c r="AI14" s="1583"/>
      <c r="AJ14" s="1583"/>
      <c r="AK14" s="1583"/>
      <c r="AL14" s="1583"/>
    </row>
    <row r="15" spans="1:41" customFormat="1" ht="18.600000000000001" customHeight="1">
      <c r="A15" s="1489"/>
      <c r="B15" s="1540"/>
      <c r="C15" s="1541"/>
      <c r="D15" s="1541"/>
      <c r="E15" s="1542"/>
      <c r="F15" s="1512" t="s">
        <v>5</v>
      </c>
      <c r="G15" s="1513"/>
      <c r="H15" s="1546"/>
      <c r="I15" s="1512" t="s">
        <v>732</v>
      </c>
      <c r="J15" s="1513"/>
      <c r="K15" s="1513"/>
      <c r="L15" s="1546"/>
      <c r="M15" s="1512" t="s">
        <v>1147</v>
      </c>
      <c r="N15" s="1513"/>
      <c r="O15" s="1513"/>
      <c r="P15" s="1513"/>
      <c r="Q15" s="1546"/>
      <c r="R15" s="1512" t="s">
        <v>1148</v>
      </c>
      <c r="S15" s="1513"/>
      <c r="T15" s="1514"/>
      <c r="V15" s="54"/>
      <c r="W15" s="54"/>
      <c r="X15" s="54"/>
      <c r="Y15" s="54"/>
      <c r="Z15" s="54"/>
      <c r="AA15" s="1476"/>
      <c r="AB15" s="1476"/>
      <c r="AC15" s="1476"/>
      <c r="AD15" s="1476"/>
      <c r="AE15" s="1476"/>
      <c r="AF15" s="1476"/>
      <c r="AG15" s="1476"/>
      <c r="AH15" s="1476"/>
      <c r="AI15" s="1476"/>
      <c r="AJ15" s="1476"/>
      <c r="AK15" s="1476"/>
      <c r="AL15" s="1476"/>
      <c r="AM15" s="54"/>
      <c r="AN15" s="54"/>
      <c r="AO15" s="54"/>
    </row>
    <row r="16" spans="1:41" ht="18.600000000000001" customHeight="1">
      <c r="A16" s="1489"/>
      <c r="B16" s="1543"/>
      <c r="C16" s="1544"/>
      <c r="D16" s="1544"/>
      <c r="E16" s="1545"/>
      <c r="F16" s="1512" t="e">
        <f>'먼지측정 사전 Data'!H59&amp;" %"</f>
        <v>#DIV/0!</v>
      </c>
      <c r="G16" s="1513"/>
      <c r="H16" s="1546"/>
      <c r="I16" s="1552" t="e">
        <f>'먼지측정 사전 Data'!R69&amp;" ℃"</f>
        <v>#DIV/0!</v>
      </c>
      <c r="J16" s="1553"/>
      <c r="K16" s="1553"/>
      <c r="L16" s="1554"/>
      <c r="M16" s="1563" t="e">
        <f>'먼지측정 사전 Data'!R82&amp;" m/s"</f>
        <v>#DIV/0!</v>
      </c>
      <c r="N16" s="1564"/>
      <c r="O16" s="1564"/>
      <c r="P16" s="1564"/>
      <c r="Q16" s="1565"/>
      <c r="R16" s="1547" t="s">
        <v>158</v>
      </c>
      <c r="S16" s="1548"/>
      <c r="T16" s="1549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  <c r="AL16" s="1476"/>
    </row>
    <row r="17" spans="1:40" ht="18" customHeight="1">
      <c r="A17" s="1489"/>
      <c r="B17" s="1471" t="s">
        <v>1157</v>
      </c>
      <c r="C17" s="1472"/>
      <c r="D17" s="1472"/>
      <c r="E17" s="1475"/>
      <c r="F17" s="1458" t="s">
        <v>575</v>
      </c>
      <c r="G17" s="1459"/>
      <c r="H17" s="1459"/>
      <c r="I17" s="1459"/>
      <c r="J17" s="1459"/>
      <c r="K17" s="1459"/>
      <c r="L17" s="1460"/>
      <c r="M17" s="1459" t="s">
        <v>1149</v>
      </c>
      <c r="N17" s="1459"/>
      <c r="O17" s="1459"/>
      <c r="P17" s="1459"/>
      <c r="Q17" s="1460"/>
      <c r="R17" s="1458" t="s">
        <v>577</v>
      </c>
      <c r="S17" s="1459"/>
      <c r="T17" s="1519"/>
      <c r="AA17" s="1584"/>
      <c r="AB17" s="1584"/>
      <c r="AC17" s="1584"/>
      <c r="AD17" s="1584"/>
      <c r="AE17" s="1584"/>
      <c r="AF17" s="1584"/>
      <c r="AG17" s="378"/>
      <c r="AH17" s="411"/>
      <c r="AI17" s="378"/>
      <c r="AJ17" s="378"/>
      <c r="AK17" s="1476"/>
      <c r="AL17" s="1476"/>
    </row>
    <row r="18" spans="1:40" ht="18" customHeight="1">
      <c r="A18" s="1489"/>
      <c r="B18" s="1570"/>
      <c r="C18" s="1571"/>
      <c r="D18" s="1571"/>
      <c r="E18" s="1572"/>
      <c r="F18" s="1465" t="str">
        <f>'대기측정 분석결과서'!E13&amp;IF('대기측정 분석결과서'!L10="",""," ("&amp;'대기측정 분석결과서'!L10&amp;")")</f>
        <v/>
      </c>
      <c r="G18" s="1466"/>
      <c r="H18" s="1466"/>
      <c r="I18" s="1466"/>
      <c r="J18" s="1466"/>
      <c r="K18" s="1466"/>
      <c r="L18" s="1467"/>
      <c r="M18" s="1459" t="s">
        <v>1293</v>
      </c>
      <c r="N18" s="1459"/>
      <c r="O18" s="1459"/>
      <c r="P18" s="1459"/>
      <c r="Q18" s="1460"/>
      <c r="R18" s="1458">
        <v>98</v>
      </c>
      <c r="S18" s="1459"/>
      <c r="T18" s="413" t="s">
        <v>194</v>
      </c>
      <c r="AA18" s="1584"/>
      <c r="AB18" s="1584"/>
      <c r="AC18" s="1584"/>
      <c r="AD18" s="1584"/>
      <c r="AE18" s="1584"/>
      <c r="AF18" s="1584"/>
      <c r="AG18" s="1589"/>
      <c r="AH18" s="1589"/>
      <c r="AI18" s="1589"/>
      <c r="AJ18" s="378"/>
      <c r="AK18" s="1584"/>
      <c r="AL18" s="1584"/>
    </row>
    <row r="19" spans="1:40" ht="18" customHeight="1">
      <c r="A19" s="1489"/>
      <c r="B19" s="1570"/>
      <c r="C19" s="1571"/>
      <c r="D19" s="1571"/>
      <c r="E19" s="1572"/>
      <c r="F19" s="1465" t="s">
        <v>158</v>
      </c>
      <c r="G19" s="1466"/>
      <c r="H19" s="1466"/>
      <c r="I19" s="1466"/>
      <c r="J19" s="1466"/>
      <c r="K19" s="1466"/>
      <c r="L19" s="1467"/>
      <c r="M19" s="1459" t="s">
        <v>158</v>
      </c>
      <c r="N19" s="1459"/>
      <c r="O19" s="1459"/>
      <c r="P19" s="1459"/>
      <c r="Q19" s="1460"/>
      <c r="R19" s="1458" t="s">
        <v>158</v>
      </c>
      <c r="S19" s="1459"/>
      <c r="T19" s="413" t="s">
        <v>194</v>
      </c>
      <c r="Y19"/>
      <c r="AA19" s="860"/>
      <c r="AB19" s="860"/>
      <c r="AC19" s="860"/>
      <c r="AD19" s="860"/>
      <c r="AE19" s="860"/>
      <c r="AF19" s="860"/>
      <c r="AG19" s="862"/>
      <c r="AH19" s="862"/>
      <c r="AI19" s="862"/>
      <c r="AJ19" s="378"/>
      <c r="AK19" s="860"/>
      <c r="AL19" s="860"/>
    </row>
    <row r="20" spans="1:40" ht="18" customHeight="1">
      <c r="A20" s="1489"/>
      <c r="B20" s="1490"/>
      <c r="C20" s="1477"/>
      <c r="D20" s="1477"/>
      <c r="E20" s="1478"/>
      <c r="F20" s="1465" t="s">
        <v>158</v>
      </c>
      <c r="G20" s="1466"/>
      <c r="H20" s="1466"/>
      <c r="I20" s="1466"/>
      <c r="J20" s="1466"/>
      <c r="K20" s="1466"/>
      <c r="L20" s="1467"/>
      <c r="M20" s="1459" t="s">
        <v>158</v>
      </c>
      <c r="N20" s="1459"/>
      <c r="O20" s="1459"/>
      <c r="P20" s="1459"/>
      <c r="Q20" s="1460"/>
      <c r="R20" s="1458" t="s">
        <v>158</v>
      </c>
      <c r="S20" s="1459"/>
      <c r="T20" s="413" t="s">
        <v>194</v>
      </c>
      <c r="AA20" s="860"/>
      <c r="AB20" s="860"/>
      <c r="AC20" s="860"/>
      <c r="AD20" s="860"/>
      <c r="AE20" s="860"/>
      <c r="AF20" s="860"/>
      <c r="AG20" s="862"/>
      <c r="AH20" s="862"/>
      <c r="AI20" s="862"/>
      <c r="AJ20" s="378"/>
      <c r="AK20" s="860"/>
      <c r="AL20" s="860"/>
    </row>
    <row r="21" spans="1:40" ht="18" customHeight="1">
      <c r="A21" s="1489"/>
      <c r="B21" s="1570" t="s">
        <v>463</v>
      </c>
      <c r="C21" s="1571"/>
      <c r="D21" s="1571"/>
      <c r="E21" s="1572"/>
      <c r="F21" s="1523" t="s">
        <v>736</v>
      </c>
      <c r="G21" s="1524"/>
      <c r="H21" s="1520">
        <f>'먼지측정 사전 Data'!N5</f>
        <v>0</v>
      </c>
      <c r="I21" s="1521"/>
      <c r="J21" s="1521"/>
      <c r="K21" s="1521"/>
      <c r="L21" s="1522"/>
      <c r="M21" s="1471" t="s">
        <v>1156</v>
      </c>
      <c r="N21" s="1472"/>
      <c r="O21" s="1472"/>
      <c r="P21" s="1475"/>
      <c r="Q21" s="1466" t="str">
        <f>'대기측정 분석결과서'!U7&amp;"                (서명)"</f>
        <v>0                (서명)</v>
      </c>
      <c r="R21" s="1466"/>
      <c r="S21" s="1466"/>
      <c r="T21" s="1530"/>
      <c r="AA21" s="1476"/>
      <c r="AB21" s="1476"/>
      <c r="AC21" s="1476"/>
      <c r="AD21" s="1476"/>
      <c r="AE21" s="1476"/>
      <c r="AF21" s="1476"/>
      <c r="AG21" s="1476"/>
      <c r="AH21" s="1476"/>
      <c r="AI21" s="378"/>
      <c r="AJ21" s="378"/>
      <c r="AK21" s="1476"/>
      <c r="AL21" s="1476"/>
    </row>
    <row r="22" spans="1:40" ht="18.95" customHeight="1">
      <c r="A22" s="1489"/>
      <c r="B22" s="1490"/>
      <c r="C22" s="1477"/>
      <c r="D22" s="1477"/>
      <c r="E22" s="1478"/>
      <c r="F22" s="1523" t="s">
        <v>1155</v>
      </c>
      <c r="G22" s="1524"/>
      <c r="H22" s="1458" t="str">
        <f>'먼지측정 사전 Data'!H6&amp;" : "&amp;IF('먼지측정 사전 Data'!I6&lt;10,"0"&amp;'먼지측정 사전 Data'!I6,'먼지측정 사전 Data'!I6)&amp;" ~ "&amp;'먼지측정 사전 Data'!K6&amp;" : "&amp;IF('먼지측정 사전 Data'!L6&lt;10,"0"&amp;'먼지측정 사전 Data'!L6,'먼지측정 사전 Data'!L6)</f>
        <v xml:space="preserve"> : 0 ~  : 0</v>
      </c>
      <c r="I22" s="1459"/>
      <c r="J22" s="1459"/>
      <c r="K22" s="1459"/>
      <c r="L22" s="1460"/>
      <c r="M22" s="1490"/>
      <c r="N22" s="1477"/>
      <c r="O22" s="1477"/>
      <c r="P22" s="1478"/>
      <c r="Q22" s="1466" t="str">
        <f>'대기측정 분석결과서'!X7&amp;"                (서명)"</f>
        <v>0                (서명)</v>
      </c>
      <c r="R22" s="1466"/>
      <c r="S22" s="1466"/>
      <c r="T22" s="1530"/>
      <c r="AA22" s="1476"/>
      <c r="AB22" s="1476"/>
      <c r="AC22" s="1476"/>
      <c r="AD22" s="1476"/>
      <c r="AE22" s="1476"/>
      <c r="AF22" s="1476"/>
      <c r="AG22" s="1476"/>
      <c r="AH22" s="1476"/>
      <c r="AI22" s="378"/>
      <c r="AJ22" s="378"/>
      <c r="AK22" s="1476"/>
      <c r="AL22" s="1476"/>
    </row>
    <row r="23" spans="1:40" ht="15.75" customHeight="1">
      <c r="A23" s="1508" t="s">
        <v>848</v>
      </c>
      <c r="B23" s="1471" t="s">
        <v>578</v>
      </c>
      <c r="C23" s="1472"/>
      <c r="D23" s="1472"/>
      <c r="E23" s="1475"/>
      <c r="F23" s="1458" t="s">
        <v>579</v>
      </c>
      <c r="G23" s="1459"/>
      <c r="H23" s="1459"/>
      <c r="I23" s="1459"/>
      <c r="J23" s="1459"/>
      <c r="K23" s="1459"/>
      <c r="L23" s="1459"/>
      <c r="M23" s="1459"/>
      <c r="N23" s="1459"/>
      <c r="O23" s="1459"/>
      <c r="P23" s="1459"/>
      <c r="Q23" s="1460"/>
      <c r="R23" s="1515" t="s">
        <v>580</v>
      </c>
      <c r="S23" s="1515"/>
      <c r="T23" s="1516"/>
    </row>
    <row r="24" spans="1:40" ht="15.75" customHeight="1">
      <c r="A24" s="1509"/>
      <c r="B24" s="1490"/>
      <c r="C24" s="1477"/>
      <c r="D24" s="1477"/>
      <c r="E24" s="1478"/>
      <c r="F24" s="1474" t="s">
        <v>581</v>
      </c>
      <c r="G24" s="1474"/>
      <c r="H24" s="1474" t="s">
        <v>582</v>
      </c>
      <c r="I24" s="1474"/>
      <c r="J24" s="1474" t="s">
        <v>583</v>
      </c>
      <c r="K24" s="1474"/>
      <c r="L24" s="1474" t="s">
        <v>584</v>
      </c>
      <c r="M24" s="1474"/>
      <c r="N24" s="1474" t="s">
        <v>585</v>
      </c>
      <c r="O24" s="1474"/>
      <c r="P24" s="1474" t="s">
        <v>586</v>
      </c>
      <c r="Q24" s="1474"/>
      <c r="R24" s="1517"/>
      <c r="S24" s="1517"/>
      <c r="T24" s="1518"/>
    </row>
    <row r="25" spans="1:40" ht="19.5" customHeight="1">
      <c r="A25" s="1509"/>
      <c r="B25" s="1465" t="str">
        <f>IF('현대차 시설명칭'!B10="","-",RIGHT('현대차 시설명칭'!B10, LEN('현대차 시설명칭'!B10)-2))</f>
        <v>건조시설 (전착)</v>
      </c>
      <c r="C25" s="1466"/>
      <c r="D25" s="1466"/>
      <c r="E25" s="1467"/>
      <c r="F25" s="1609" t="str">
        <f>IF('현대차 시설명칭'!D10="","-",'현대차 시설명칭'!D10)</f>
        <v>132.0 N㎥/시</v>
      </c>
      <c r="G25" s="1610"/>
      <c r="H25" s="1458" t="str">
        <f>IF('현대차 시설명칭'!G10="","-",'현대차 시설명칭'!G10)</f>
        <v>-</v>
      </c>
      <c r="I25" s="1460"/>
      <c r="J25" s="1458" t="s">
        <v>158</v>
      </c>
      <c r="K25" s="1460"/>
      <c r="L25" s="1611" t="str">
        <f>IF('현대차 시설명칭'!J10="","-",IF(LEN('현대차 시설명칭'!J10)&gt;1,LEFT('현대차 시설명칭'!J10, FIND(" ", '현대차 시설명칭'!J10)-1),""))</f>
        <v>112.28</v>
      </c>
      <c r="M25" s="1612"/>
      <c r="N25" s="1617" t="str">
        <f>IF('현대차 시설명칭'!K10="","-",'현대차 시설명칭'!K10)</f>
        <v>전착 도료 및 신너</v>
      </c>
      <c r="O25" s="1618"/>
      <c r="P25" s="1465" t="str">
        <f>IF('현대차 시설명칭'!J10="","-",RIGHT('현대차 시설명칭'!J10, LEN('현대차 시설명칭'!J10)-FIND(" ", '현대차 시설명칭'!J10)))</f>
        <v>kg</v>
      </c>
      <c r="Q25" s="1467"/>
      <c r="R25" s="1531" t="str">
        <f>F18 &amp; IF(F19&lt;&gt; "-", IF(F19&lt;&gt;"", ", " &amp; F19, ""), "") &amp; IF(F20&lt;&gt; "-", IF(F20&lt;&gt;"", ", " &amp; F20, ""), "")</f>
        <v/>
      </c>
      <c r="S25" s="1515"/>
      <c r="T25" s="1516"/>
    </row>
    <row r="26" spans="1:40" ht="19.5" customHeight="1">
      <c r="A26" s="1509"/>
      <c r="B26" s="1465" t="str">
        <f>IF('현대차 시설명칭'!B11="","-",RIGHT('현대차 시설명칭'!B11, LEN('현대차 시설명칭'!B11)-2))</f>
        <v>건조시설 (상도)</v>
      </c>
      <c r="C26" s="1466"/>
      <c r="D26" s="1466"/>
      <c r="E26" s="1467"/>
      <c r="F26" s="1609" t="str">
        <f>IF('현대차 시설명칭'!D11="","-",'현대차 시설명칭'!D11)</f>
        <v>174.0 N㎥/시</v>
      </c>
      <c r="G26" s="1610"/>
      <c r="H26" s="1458" t="str">
        <f>IF('현대차 시설명칭'!G11="","-",'현대차 시설명칭'!G11)</f>
        <v>-</v>
      </c>
      <c r="I26" s="1460"/>
      <c r="J26" s="1473" t="s">
        <v>158</v>
      </c>
      <c r="K26" s="1473"/>
      <c r="L26" s="1611" t="str">
        <f>IF('현대차 시설명칭'!J11="","-",IF(LEN('현대차 시설명칭'!J11)&gt;1,LEFT('현대차 시설명칭'!J11, FIND(" ", '현대차 시설명칭'!J11)-1),""))</f>
        <v>56.75</v>
      </c>
      <c r="M26" s="1612"/>
      <c r="N26" s="1458" t="str">
        <f>IF('현대차 시설명칭'!K11="","-",'현대차 시설명칭'!K11)</f>
        <v>도료 및 신너</v>
      </c>
      <c r="O26" s="1460"/>
      <c r="P26" s="1465" t="str">
        <f>IF('현대차 시설명칭'!J11="","-",RIGHT('현대차 시설명칭'!J11, LEN('현대차 시설명칭'!J11)-FIND(" ", '현대차 시설명칭'!J11)))</f>
        <v>kg</v>
      </c>
      <c r="Q26" s="1467"/>
      <c r="R26" s="1613"/>
      <c r="S26" s="1614"/>
      <c r="T26" s="1615"/>
    </row>
    <row r="27" spans="1:40" ht="19.5" customHeight="1">
      <c r="A27" s="1509"/>
      <c r="B27" s="1465" t="str">
        <f>IF('현대차 시설명칭'!B12="","-",RIGHT('현대차 시설명칭'!B12, LEN('현대차 시설명칭'!B12)-2))</f>
        <v>-</v>
      </c>
      <c r="C27" s="1466"/>
      <c r="D27" s="1466"/>
      <c r="E27" s="1467"/>
      <c r="F27" s="1609" t="str">
        <f>IF('현대차 시설명칭'!D12="","-",'현대차 시설명칭'!D12)</f>
        <v>-</v>
      </c>
      <c r="G27" s="1610"/>
      <c r="H27" s="1458" t="str">
        <f>IF('현대차 시설명칭'!G12="","-",'현대차 시설명칭'!G12)</f>
        <v>-</v>
      </c>
      <c r="I27" s="1460"/>
      <c r="J27" s="1473" t="s">
        <v>158</v>
      </c>
      <c r="K27" s="1473"/>
      <c r="L27" s="1611" t="str">
        <f>IF('현대차 시설명칭'!J12="","-",IF(LEN('현대차 시설명칭'!J12)&gt;1,LEFT('현대차 시설명칭'!J12, FIND(" ", '현대차 시설명칭'!J12)-1),""))</f>
        <v>-</v>
      </c>
      <c r="M27" s="1612"/>
      <c r="N27" s="1458" t="str">
        <f>IF('현대차 시설명칭'!K12="","-",'현대차 시설명칭'!K12)</f>
        <v>-</v>
      </c>
      <c r="O27" s="1460"/>
      <c r="P27" s="1465" t="str">
        <f>IF('현대차 시설명칭'!J12="","-",RIGHT('현대차 시설명칭'!J12, LEN('현대차 시설명칭'!J12)-FIND(" ", '현대차 시설명칭'!J12)))</f>
        <v>-</v>
      </c>
      <c r="Q27" s="1467"/>
      <c r="R27" s="1613"/>
      <c r="S27" s="1614"/>
      <c r="T27" s="1615"/>
    </row>
    <row r="28" spans="1:40" ht="19.5" customHeight="1">
      <c r="A28" s="1510"/>
      <c r="B28" s="1465" t="str">
        <f>IF('현대차 시설명칭'!B13="","-",RIGHT('현대차 시설명칭'!B13, LEN('현대차 시설명칭'!B13)-2))</f>
        <v>-</v>
      </c>
      <c r="C28" s="1466"/>
      <c r="D28" s="1466"/>
      <c r="E28" s="1467"/>
      <c r="F28" s="1609" t="str">
        <f>IF('현대차 시설명칭'!D13="","-",'현대차 시설명칭'!D13)</f>
        <v>-</v>
      </c>
      <c r="G28" s="1610"/>
      <c r="H28" s="1458" t="str">
        <f>IF('현대차 시설명칭'!G13="","-",'현대차 시설명칭'!G13)</f>
        <v>-</v>
      </c>
      <c r="I28" s="1460"/>
      <c r="J28" s="1473" t="s">
        <v>158</v>
      </c>
      <c r="K28" s="1473"/>
      <c r="L28" s="1611" t="str">
        <f>IF('현대차 시설명칭'!J13="","-",IF(LEN('현대차 시설명칭'!J13)&gt;1,LEFT('현대차 시설명칭'!J13, FIND(" ", '현대차 시설명칭'!J13)-1),""))</f>
        <v>-</v>
      </c>
      <c r="M28" s="1612"/>
      <c r="N28" s="1458" t="str">
        <f>IF('현대차 시설명칭'!K13="","-",'현대차 시설명칭'!K13)</f>
        <v>-</v>
      </c>
      <c r="O28" s="1460"/>
      <c r="P28" s="1465" t="str">
        <f>IF('현대차 시설명칭'!J13="","-",RIGHT('현대차 시설명칭'!J13, LEN('현대차 시설명칭'!J13)-FIND(" ", '현대차 시설명칭'!J13)))</f>
        <v>-</v>
      </c>
      <c r="Q28" s="1467"/>
      <c r="R28" s="1533"/>
      <c r="S28" s="1517"/>
      <c r="T28" s="1518"/>
    </row>
    <row r="29" spans="1:40" ht="12" customHeight="1">
      <c r="A29" s="1567" t="s">
        <v>588</v>
      </c>
      <c r="B29" s="1460" t="s">
        <v>353</v>
      </c>
      <c r="C29" s="1473"/>
      <c r="D29" s="1473"/>
      <c r="E29" s="1473"/>
      <c r="F29" s="1473" t="s">
        <v>589</v>
      </c>
      <c r="G29" s="1473"/>
      <c r="H29" s="1473"/>
      <c r="I29" s="1473" t="s">
        <v>354</v>
      </c>
      <c r="J29" s="1473"/>
      <c r="K29" s="1473"/>
      <c r="L29" s="1491" t="s">
        <v>1150</v>
      </c>
      <c r="M29" s="1492"/>
      <c r="N29" s="1493"/>
      <c r="O29" s="1497" t="s">
        <v>504</v>
      </c>
      <c r="P29" s="1498"/>
      <c r="Q29" s="1498"/>
      <c r="R29" s="1499"/>
      <c r="S29" s="1531" t="s">
        <v>355</v>
      </c>
      <c r="T29" s="1516"/>
    </row>
    <row r="30" spans="1:40" ht="12" customHeight="1">
      <c r="A30" s="1568"/>
      <c r="B30" s="1460"/>
      <c r="C30" s="1473"/>
      <c r="D30" s="1473"/>
      <c r="E30" s="1473"/>
      <c r="F30" s="1473"/>
      <c r="G30" s="1473"/>
      <c r="H30" s="1473"/>
      <c r="I30" s="1473"/>
      <c r="J30" s="1473"/>
      <c r="K30" s="1473"/>
      <c r="L30" s="1494"/>
      <c r="M30" s="1495"/>
      <c r="N30" s="1496"/>
      <c r="O30" s="1497"/>
      <c r="P30" s="1498"/>
      <c r="Q30" s="1498"/>
      <c r="R30" s="1499"/>
      <c r="S30" s="1533"/>
      <c r="T30" s="1518"/>
    </row>
    <row r="31" spans="1:40" ht="21.95" customHeight="1">
      <c r="A31" s="1568"/>
      <c r="B31" s="1469"/>
      <c r="C31" s="1469"/>
      <c r="D31" s="1469"/>
      <c r="E31" s="1470"/>
      <c r="F31" s="1471"/>
      <c r="G31" s="1472"/>
      <c r="H31" s="527" t="str">
        <f>IF(B31="","",INDEX('대기측정 분석결과서'!$AH$23:$AH$74,MATCH(B31,측정항목,0)))</f>
        <v/>
      </c>
      <c r="I31" s="1483" t="str">
        <f>IF(B31="","",
IF(INDEX('대기측정 분석결과서'!$F$23:$I$74,MATCH(B31,항목,0),1)="","값없음",
IF(ISERROR(FIXED(IF(INDEX('대기측정 분석결과서'!$F$23:$I$74,MATCH(B31,항목,0),1)&lt;INDEX('대기측정 분석결과서'!$AG$23:$AG$74,MATCH(B31,항목,0)),"불검출",
INDEX('대기측정 분석결과서'!$F$23:$I$74,MATCH(B31,항목,0),1)),INDEX('대기측정 분석결과서'!$AI$23:$AI$74,MATCH(B31,항목,0)))),"불검출",
FIXED(INDEX('대기측정 분석결과서'!$F$23:$I$74,MATCH(B31,항목,0),1),INDEX('대기측정 분석결과서'!$AI$23:$AI$74,MATCH(B31,항목,0))))))</f>
        <v/>
      </c>
      <c r="J31" s="1484"/>
      <c r="K31" s="1485"/>
      <c r="L31" s="1471" t="str">
        <f>IF(B31="","",
   IF(INDEX(Sheet1!$E$6:$F$51,MATCH(B31,Sheet1!$E$6:$E$51,0),2)="수은",
      '한종_시료채취기록지 '!$AG$20,
   IF(INDEX(Sheet1!$E$6:$F$51,MATCH(B31,Sheet1!$E$6:$E$51,0),2)="먼지",
      '한종_시료채취기록지 '!$Y$20,
   IF(INDEX(Sheet1!$E$6:$F$51,MATCH(B31,Sheet1!$E$6:$E$51,0),2)="THC",
      '한종_시료채취기록지 '!$AC$23,
   IF(INDEX(Sheet1!$E$6:$F$51,MATCH(B31,Sheet1!$E$6:$E$51,0),2)="매연",
      '한종_시료채취기록지 '!$AG$23,
   IF(INDEX(Sheet1!$E$6:$F$51,MATCH(B31,Sheet1!$E$6:$E$51,0),2)="옵티마",
      '한종_시료채취기록지 '!$Y$23,
   IF(INDEX(Sheet1!$E$6:$F$51,MATCH(B31,Sheet1!$E$6:$E$51,0),2)="중금속",
      '한종_시료채취기록지 '!$AC$20,
   IF(INDEX(Sheet1!$E$6:$F$51,MATCH(B31,Sheet1!$E$6:$E$51,0),2)="T",
    IFERROR(
         INDEX(가스상항목시간,MATCH("VOCs-T",가스상항목,0),5),
         INDEX(가스상항목시간,MATCH("VOCs-A",가스상항목,0),5)
      ),
   IF(INDEX(Sheet1!$E$6:$F$51,MATCH(B31,Sheet1!$E$6:$E$51,0),2)="A",
         INDEX(가스상항목시간,MATCH("VOCs-A",가스상항목,0),5),
   IF(INDEX(Sheet1!$E$6:$F$51,MATCH(B31,Sheet1!$E$6:$E$51,0),2)="DNPH",
      INDEX(가스상항목시간,MATCH("VOCs",가스상항목,0),5),
      INDEX(가스상항목시간,MATCH(B31,가스상항목,0),5)
   ))))))))))</f>
        <v/>
      </c>
      <c r="M31" s="1472"/>
      <c r="N31" s="1475"/>
      <c r="O31" s="1471" t="str">
        <f>IF(B31="","",INDEX('대기측정 분석결과서'!$Z$23:$Z$74,MATCH(B31,항목,0)))</f>
        <v/>
      </c>
      <c r="P31" s="1472"/>
      <c r="Q31" s="1472"/>
      <c r="R31" s="1475"/>
      <c r="S31" s="1486" t="str">
        <f>IF(B31="","",INDEX('대기측정 분석결과서'!$M$23:$M$74,MATCH(B31,항목,0)))</f>
        <v/>
      </c>
      <c r="T31" s="1487"/>
      <c r="V31" s="1590" t="s">
        <v>1223</v>
      </c>
      <c r="W31" s="1459"/>
      <c r="X31" s="1459"/>
      <c r="Y31" s="1459"/>
      <c r="Z31" s="1459"/>
      <c r="AA31" s="1459"/>
      <c r="AB31" s="1459"/>
      <c r="AC31" s="1459"/>
      <c r="AD31" s="1459"/>
      <c r="AE31" s="1459"/>
      <c r="AF31" s="1459"/>
      <c r="AG31" s="1459"/>
      <c r="AH31" s="1459"/>
      <c r="AI31" s="1459"/>
      <c r="AJ31" s="1459"/>
      <c r="AK31" s="1459"/>
      <c r="AL31" s="1459"/>
      <c r="AM31" s="1459"/>
      <c r="AN31" s="1519"/>
    </row>
    <row r="32" spans="1:40" ht="21.95" customHeight="1">
      <c r="A32" s="1568"/>
      <c r="B32" s="1469"/>
      <c r="C32" s="1469"/>
      <c r="D32" s="1469"/>
      <c r="E32" s="1470"/>
      <c r="F32" s="1471"/>
      <c r="G32" s="1472"/>
      <c r="H32" s="527" t="str">
        <f>IF(B32="","",INDEX('대기측정 분석결과서'!$AH$23:$AH$74,MATCH(B32,측정항목,0)))</f>
        <v/>
      </c>
      <c r="I32" s="1483" t="str">
        <f>IF(B32="","",
IF(INDEX('대기측정 분석결과서'!$F$23:$I$74,MATCH(B32,항목,0),1)="","값없음",
IF(ISERROR(FIXED(IF(INDEX('대기측정 분석결과서'!$F$23:$I$74,MATCH(B32,항목,0),1)&lt;INDEX('대기측정 분석결과서'!$AG$23:$AG$74,MATCH(B32,항목,0)),"불검출",
INDEX('대기측정 분석결과서'!$F$23:$I$74,MATCH(B32,항목,0),1)),INDEX('대기측정 분석결과서'!$AI$23:$AI$74,MATCH(B32,항목,0)))),"불검출",
FIXED(INDEX('대기측정 분석결과서'!$F$23:$I$74,MATCH(B32,항목,0),1),INDEX('대기측정 분석결과서'!$AI$23:$AI$74,MATCH(B32,항목,0))))))</f>
        <v/>
      </c>
      <c r="J32" s="1484"/>
      <c r="K32" s="1485"/>
      <c r="L32" s="1471" t="str">
        <f>IF(B32="","",
   IF(INDEX(Sheet1!$E$6:$F$51,MATCH(B32,Sheet1!$E$6:$E$51,0),2)="수은",
      '한종_시료채취기록지 '!$AG$20,
   IF(INDEX(Sheet1!$E$6:$F$51,MATCH(B32,Sheet1!$E$6:$E$51,0),2)="먼지",
      '한종_시료채취기록지 '!$Y$20,
   IF(INDEX(Sheet1!$E$6:$F$51,MATCH(B32,Sheet1!$E$6:$E$51,0),2)="THC",
      '한종_시료채취기록지 '!$AC$23,
   IF(INDEX(Sheet1!$E$6:$F$51,MATCH(B32,Sheet1!$E$6:$E$51,0),2)="매연",
      '한종_시료채취기록지 '!$AG$23,
   IF(INDEX(Sheet1!$E$6:$F$51,MATCH(B32,Sheet1!$E$6:$E$51,0),2)="옵티마",
      '한종_시료채취기록지 '!$Y$23,
   IF(INDEX(Sheet1!$E$6:$F$51,MATCH(B32,Sheet1!$E$6:$E$51,0),2)="중금속",
      '한종_시료채취기록지 '!$AC$20,
   IF(INDEX(Sheet1!$E$6:$F$51,MATCH(B32,Sheet1!$E$6:$E$51,0),2)="T",
    IFERROR(
         INDEX(가스상항목시간,MATCH("VOCs-T",가스상항목,0),5),
         INDEX(가스상항목시간,MATCH("VOCs-A",가스상항목,0),5)
      ),
   IF(INDEX(Sheet1!$E$6:$F$51,MATCH(B32,Sheet1!$E$6:$E$51,0),2)="A",
         INDEX(가스상항목시간,MATCH("VOCs-A",가스상항목,0),5),
   IF(INDEX(Sheet1!$E$6:$F$51,MATCH(B32,Sheet1!$E$6:$E$51,0),2)="DNPH",
      INDEX(가스상항목시간,MATCH("VOCs",가스상항목,0),5),
      INDEX(가스상항목시간,MATCH(B32,가스상항목,0),5)
   ))))))))))</f>
        <v/>
      </c>
      <c r="M32" s="1472"/>
      <c r="N32" s="1475"/>
      <c r="O32" s="1471" t="str">
        <f>IF(B32="","",INDEX('대기측정 분석결과서'!$Z$23:$Z$74,MATCH(B32,항목,0)))</f>
        <v/>
      </c>
      <c r="P32" s="1472"/>
      <c r="Q32" s="1472"/>
      <c r="R32" s="1475"/>
      <c r="S32" s="1486" t="str">
        <f>IF(B32="","",INDEX('대기측정 분석결과서'!$M$23:$M$74,MATCH(B32,항목,0)))</f>
        <v/>
      </c>
      <c r="T32" s="1487"/>
    </row>
    <row r="33" spans="1:29" ht="21.95" customHeight="1">
      <c r="A33" s="1568"/>
      <c r="B33" s="1469"/>
      <c r="C33" s="1469"/>
      <c r="D33" s="1469"/>
      <c r="E33" s="1470"/>
      <c r="F33" s="1471"/>
      <c r="G33" s="1472"/>
      <c r="H33" s="527" t="str">
        <f>IF(B33="","",INDEX('대기측정 분석결과서'!$AH$23:$AH$74,MATCH(B33,측정항목,0)))</f>
        <v/>
      </c>
      <c r="I33" s="1483" t="str">
        <f>IF(B33="","",
IF(INDEX('대기측정 분석결과서'!$F$23:$I$74,MATCH(B33,항목,0),1)="","값없음",
IF(ISERROR(FIXED(IF(INDEX('대기측정 분석결과서'!$F$23:$I$74,MATCH(B33,항목,0),1)&lt;INDEX('대기측정 분석결과서'!$AG$23:$AG$74,MATCH(B33,항목,0)),"불검출",
INDEX('대기측정 분석결과서'!$F$23:$I$74,MATCH(B33,항목,0),1)),INDEX('대기측정 분석결과서'!$AI$23:$AI$74,MATCH(B33,항목,0)))),"불검출",
FIXED(INDEX('대기측정 분석결과서'!$F$23:$I$74,MATCH(B33,항목,0),1),INDEX('대기측정 분석결과서'!$AI$23:$AI$74,MATCH(B33,항목,0))))))</f>
        <v/>
      </c>
      <c r="J33" s="1484"/>
      <c r="K33" s="1485"/>
      <c r="L33" s="1471" t="str">
        <f>IF(B33="","",
   IF(INDEX(Sheet1!$E$6:$F$51,MATCH(B33,Sheet1!$E$6:$E$51,0),2)="수은",
      '한종_시료채취기록지 '!$AG$20,
   IF(INDEX(Sheet1!$E$6:$F$51,MATCH(B33,Sheet1!$E$6:$E$51,0),2)="먼지",
      '한종_시료채취기록지 '!$Y$20,
   IF(INDEX(Sheet1!$E$6:$F$51,MATCH(B33,Sheet1!$E$6:$E$51,0),2)="THC",
      '한종_시료채취기록지 '!$AC$23,
   IF(INDEX(Sheet1!$E$6:$F$51,MATCH(B33,Sheet1!$E$6:$E$51,0),2)="매연",
      '한종_시료채취기록지 '!$AG$23,
   IF(INDEX(Sheet1!$E$6:$F$51,MATCH(B33,Sheet1!$E$6:$E$51,0),2)="옵티마",
      '한종_시료채취기록지 '!$Y$23,
   IF(INDEX(Sheet1!$E$6:$F$51,MATCH(B33,Sheet1!$E$6:$E$51,0),2)="중금속",
      '한종_시료채취기록지 '!$AC$20,
   IF(INDEX(Sheet1!$E$6:$F$51,MATCH(B33,Sheet1!$E$6:$E$51,0),2)="T",
    IFERROR(
         INDEX(가스상항목시간,MATCH("VOCs-T",가스상항목,0),5),
         INDEX(가스상항목시간,MATCH("VOCs-A",가스상항목,0),5)
      ),
   IF(INDEX(Sheet1!$E$6:$F$51,MATCH(B33,Sheet1!$E$6:$E$51,0),2)="A",
         INDEX(가스상항목시간,MATCH("VOCs-A",가스상항목,0),5),
   IF(INDEX(Sheet1!$E$6:$F$51,MATCH(B33,Sheet1!$E$6:$E$51,0),2)="DNPH",
      INDEX(가스상항목시간,MATCH("VOCs",가스상항목,0),5),
      INDEX(가스상항목시간,MATCH(B33,가스상항목,0),5)
   ))))))))))</f>
        <v/>
      </c>
      <c r="M33" s="1472"/>
      <c r="N33" s="1475"/>
      <c r="O33" s="1471" t="str">
        <f>IF(B33="","",INDEX('대기측정 분석결과서'!$Z$23:$Z$74,MATCH(B33,항목,0)))</f>
        <v/>
      </c>
      <c r="P33" s="1472"/>
      <c r="Q33" s="1472"/>
      <c r="R33" s="1475"/>
      <c r="S33" s="1486" t="str">
        <f>IF(B33="","",INDEX('대기측정 분석결과서'!$M$23:$M$74,MATCH(B33,항목,0)))</f>
        <v/>
      </c>
      <c r="T33" s="1487"/>
    </row>
    <row r="34" spans="1:29" ht="21.95" customHeight="1">
      <c r="A34" s="1568"/>
      <c r="B34" s="1469"/>
      <c r="C34" s="1469"/>
      <c r="D34" s="1469"/>
      <c r="E34" s="1470"/>
      <c r="F34" s="1471"/>
      <c r="G34" s="1472"/>
      <c r="H34" s="527" t="str">
        <f>IF(B34="","",INDEX('대기측정 분석결과서'!$AH$23:$AH$74,MATCH(B34,측정항목,0)))</f>
        <v/>
      </c>
      <c r="I34" s="1483" t="str">
        <f>IF(B34="","",
IF(INDEX('대기측정 분석결과서'!$F$23:$I$74,MATCH(B34,항목,0),1)="","값없음",
IF(ISERROR(FIXED(IF(INDEX('대기측정 분석결과서'!$F$23:$I$74,MATCH(B34,항목,0),1)&lt;INDEX('대기측정 분석결과서'!$AG$23:$AG$74,MATCH(B34,항목,0)),"불검출",
INDEX('대기측정 분석결과서'!$F$23:$I$74,MATCH(B34,항목,0),1)),INDEX('대기측정 분석결과서'!$AI$23:$AI$74,MATCH(B34,항목,0)))),"불검출",
FIXED(INDEX('대기측정 분석결과서'!$F$23:$I$74,MATCH(B34,항목,0),1),INDEX('대기측정 분석결과서'!$AI$23:$AI$74,MATCH(B34,항목,0))))))</f>
        <v/>
      </c>
      <c r="J34" s="1484"/>
      <c r="K34" s="1485"/>
      <c r="L34" s="1471" t="str">
        <f>IF(B34="","",
   IF(INDEX(Sheet1!$E$6:$F$51,MATCH(B34,Sheet1!$E$6:$E$51,0),2)="수은",
      '한종_시료채취기록지 '!$AG$20,
   IF(INDEX(Sheet1!$E$6:$F$51,MATCH(B34,Sheet1!$E$6:$E$51,0),2)="먼지",
      '한종_시료채취기록지 '!$Y$20,
   IF(INDEX(Sheet1!$E$6:$F$51,MATCH(B34,Sheet1!$E$6:$E$51,0),2)="THC",
      '한종_시료채취기록지 '!$AC$23,
   IF(INDEX(Sheet1!$E$6:$F$51,MATCH(B34,Sheet1!$E$6:$E$51,0),2)="매연",
      '한종_시료채취기록지 '!$AG$23,
   IF(INDEX(Sheet1!$E$6:$F$51,MATCH(B34,Sheet1!$E$6:$E$51,0),2)="옵티마",
      '한종_시료채취기록지 '!$Y$23,
   IF(INDEX(Sheet1!$E$6:$F$51,MATCH(B34,Sheet1!$E$6:$E$51,0),2)="중금속",
      '한종_시료채취기록지 '!$AC$20,
   IF(INDEX(Sheet1!$E$6:$F$51,MATCH(B34,Sheet1!$E$6:$E$51,0),2)="T",
    IFERROR(
         INDEX(가스상항목시간,MATCH("VOCs-T",가스상항목,0),5),
         INDEX(가스상항목시간,MATCH("VOCs-A",가스상항목,0),5)
      ),
   IF(INDEX(Sheet1!$E$6:$F$51,MATCH(B34,Sheet1!$E$6:$E$51,0),2)="A",
         INDEX(가스상항목시간,MATCH("VOCs-A",가스상항목,0),5),
   IF(INDEX(Sheet1!$E$6:$F$51,MATCH(B34,Sheet1!$E$6:$E$51,0),2)="DNPH",
      INDEX(가스상항목시간,MATCH("VOCs",가스상항목,0),5),
      INDEX(가스상항목시간,MATCH(B34,가스상항목,0),5)
   ))))))))))</f>
        <v/>
      </c>
      <c r="M34" s="1472"/>
      <c r="N34" s="1475"/>
      <c r="O34" s="1471" t="str">
        <f>IF(B34="","",INDEX('대기측정 분석결과서'!$Z$23:$Z$74,MATCH(B34,항목,0)))</f>
        <v/>
      </c>
      <c r="P34" s="1472"/>
      <c r="Q34" s="1472"/>
      <c r="R34" s="1475"/>
      <c r="S34" s="1486" t="str">
        <f>IF(B34="","",INDEX('대기측정 분석결과서'!$M$23:$M$74,MATCH(B34,항목,0)))</f>
        <v/>
      </c>
      <c r="T34" s="1487"/>
    </row>
    <row r="35" spans="1:29" ht="17.25" customHeight="1">
      <c r="A35" s="1568"/>
      <c r="B35" s="1472" t="s">
        <v>506</v>
      </c>
      <c r="C35" s="1472"/>
      <c r="D35" s="1472"/>
      <c r="E35" s="1475"/>
      <c r="F35" s="1479" t="str">
        <f>'먼지측정 사전 Data'!H5</f>
        <v>2026-02-06 ~ 1900-01-00</v>
      </c>
      <c r="G35" s="1480"/>
      <c r="H35" s="1480"/>
      <c r="I35" s="1480"/>
      <c r="J35" s="1480"/>
      <c r="K35" s="1480"/>
      <c r="L35" s="1480"/>
      <c r="M35" s="1458" t="s">
        <v>1151</v>
      </c>
      <c r="N35" s="1459"/>
      <c r="O35" s="1459"/>
      <c r="P35" s="1460"/>
      <c r="Q35" s="783" t="s">
        <v>1187</v>
      </c>
      <c r="R35" s="784"/>
      <c r="S35" s="784"/>
      <c r="T35" s="785"/>
      <c r="U35" s="397"/>
    </row>
    <row r="36" spans="1:29" ht="17.25" customHeight="1">
      <c r="A36" s="1569"/>
      <c r="B36" s="1477"/>
      <c r="C36" s="1477"/>
      <c r="D36" s="1477"/>
      <c r="E36" s="1478"/>
      <c r="F36" s="1481"/>
      <c r="G36" s="1482"/>
      <c r="H36" s="1482"/>
      <c r="I36" s="1482"/>
      <c r="J36" s="1482"/>
      <c r="K36" s="1482"/>
      <c r="L36" s="1482"/>
      <c r="M36" s="1458" t="s">
        <v>1152</v>
      </c>
      <c r="N36" s="1459"/>
      <c r="O36" s="1459"/>
      <c r="P36" s="1460"/>
      <c r="Q36" s="1458" t="s">
        <v>959</v>
      </c>
      <c r="R36" s="1459"/>
      <c r="S36" s="1459"/>
      <c r="T36" s="420" t="s">
        <v>500</v>
      </c>
      <c r="U36" s="378"/>
    </row>
    <row r="37" spans="1:29" ht="16.5" customHeight="1">
      <c r="A37" s="1461" t="s">
        <v>591</v>
      </c>
      <c r="B37" s="1462"/>
      <c r="C37" s="1462"/>
      <c r="D37" s="1462"/>
      <c r="E37" s="1463"/>
      <c r="F37" s="388"/>
      <c r="G37" s="389"/>
      <c r="H37" s="389" t="s">
        <v>1154</v>
      </c>
      <c r="I37" s="389"/>
      <c r="J37" s="389"/>
      <c r="K37" s="421"/>
      <c r="L37" s="1464" t="s">
        <v>1174</v>
      </c>
      <c r="M37" s="1464"/>
      <c r="N37" s="1464"/>
      <c r="O37" s="1464"/>
      <c r="P37" s="1464"/>
      <c r="Q37" s="775" t="s">
        <v>1139</v>
      </c>
      <c r="R37" s="422"/>
      <c r="S37" s="389"/>
      <c r="T37" s="391"/>
    </row>
    <row r="38" spans="1:29" ht="15" customHeight="1">
      <c r="A38" s="1456" t="s">
        <v>616</v>
      </c>
      <c r="B38" s="1457"/>
      <c r="C38" s="1457"/>
      <c r="D38" s="1457"/>
      <c r="E38" s="1457"/>
      <c r="F38" s="1457"/>
      <c r="G38" s="1457"/>
      <c r="H38" s="1457"/>
      <c r="I38" s="1457"/>
      <c r="J38" s="1457"/>
      <c r="K38" s="1457"/>
      <c r="L38" s="1457"/>
      <c r="M38" s="1457"/>
      <c r="N38" s="1457"/>
      <c r="O38" s="1457"/>
      <c r="P38" s="1457"/>
      <c r="Q38" s="1457"/>
      <c r="R38" s="378"/>
      <c r="S38" s="378"/>
      <c r="T38" s="400"/>
      <c r="X38" s="1585"/>
      <c r="Y38" s="1585"/>
      <c r="Z38" s="1585"/>
      <c r="AA38" s="1586"/>
      <c r="AB38" s="1585"/>
      <c r="AC38" s="1585"/>
    </row>
    <row r="39" spans="1:29" ht="15" customHeight="1">
      <c r="A39" s="397"/>
      <c r="B39" s="378"/>
      <c r="C39" s="378"/>
      <c r="D39" s="378"/>
      <c r="E39" s="378"/>
      <c r="F39" s="378"/>
      <c r="G39" s="378"/>
      <c r="H39" s="378"/>
      <c r="I39" s="378"/>
      <c r="J39" s="378"/>
      <c r="K39" s="1616">
        <f>YEAR('먼지측정 사전 Data'!R6)</f>
        <v>2026</v>
      </c>
      <c r="L39" s="1616"/>
      <c r="M39" s="423" t="s">
        <v>464</v>
      </c>
      <c r="N39" s="423"/>
      <c r="O39" s="424">
        <f>MONTH('먼지측정 사전 Data'!R6)</f>
        <v>2</v>
      </c>
      <c r="P39" s="423" t="s">
        <v>510</v>
      </c>
      <c r="Q39" s="423"/>
      <c r="R39" s="424">
        <f>DAY('먼지측정 사전 Data'!R6)</f>
        <v>13</v>
      </c>
      <c r="S39" s="423" t="s">
        <v>511</v>
      </c>
      <c r="T39" s="400"/>
      <c r="X39" s="1587" t="s">
        <v>779</v>
      </c>
      <c r="Y39" s="1587"/>
      <c r="Z39" s="1587"/>
      <c r="AA39" s="1588"/>
      <c r="AB39" s="1587"/>
      <c r="AC39" s="1587"/>
    </row>
    <row r="40" spans="1:29" ht="15" customHeight="1">
      <c r="A40" s="397"/>
      <c r="B40" s="395"/>
      <c r="C40" s="1476" t="s">
        <v>942</v>
      </c>
      <c r="D40" s="1476"/>
      <c r="E40" s="1476"/>
      <c r="F40" s="1476"/>
      <c r="H40" s="1536" t="s">
        <v>820</v>
      </c>
      <c r="I40" s="1536"/>
      <c r="J40" s="1536"/>
      <c r="K40" s="1536"/>
      <c r="L40" s="1536"/>
      <c r="M40" s="1536"/>
      <c r="N40" s="1536"/>
      <c r="O40" s="1536"/>
      <c r="P40" s="1536"/>
      <c r="Q40" s="1536"/>
      <c r="R40" s="1536"/>
      <c r="S40" s="378"/>
      <c r="T40" s="400"/>
    </row>
    <row r="41" spans="1:29" ht="15" customHeight="1">
      <c r="A41" s="397"/>
      <c r="B41" s="395"/>
      <c r="C41" s="1476" t="s">
        <v>943</v>
      </c>
      <c r="D41" s="1476"/>
      <c r="E41" s="1476"/>
      <c r="F41" s="1476"/>
      <c r="H41" s="1550" t="s">
        <v>1066</v>
      </c>
      <c r="I41" s="1550"/>
      <c r="J41" s="1550"/>
      <c r="K41" s="1550"/>
      <c r="L41" s="1550"/>
      <c r="M41" s="1550"/>
      <c r="N41" s="1550"/>
      <c r="O41" s="1550"/>
      <c r="P41" s="1550"/>
      <c r="Q41" s="1550"/>
      <c r="R41" s="1550"/>
      <c r="S41" s="378"/>
      <c r="T41" s="400"/>
    </row>
    <row r="42" spans="1:29" ht="15" customHeight="1">
      <c r="A42" s="397"/>
      <c r="B42" s="395"/>
      <c r="C42" s="1476" t="s">
        <v>944</v>
      </c>
      <c r="D42" s="1476"/>
      <c r="E42" s="1476"/>
      <c r="F42" s="1476"/>
      <c r="H42" s="1536" t="s">
        <v>835</v>
      </c>
      <c r="I42" s="1536"/>
      <c r="J42" s="1536"/>
      <c r="K42" s="1536"/>
      <c r="L42" s="1536"/>
      <c r="M42" s="1536"/>
      <c r="N42" s="1536"/>
      <c r="O42" s="1536"/>
      <c r="P42" s="1536"/>
      <c r="Q42" s="1536"/>
      <c r="R42" s="1536"/>
      <c r="S42" s="524" t="s">
        <v>1153</v>
      </c>
      <c r="T42" s="425"/>
    </row>
    <row r="43" spans="1:29" ht="13.5" customHeight="1">
      <c r="A43" s="537" t="s">
        <v>1064</v>
      </c>
      <c r="B43" s="423"/>
      <c r="C43" s="423"/>
      <c r="D43" s="423"/>
      <c r="E43" s="423"/>
      <c r="F43" s="395"/>
      <c r="G43" s="538"/>
      <c r="H43" s="538"/>
      <c r="I43" s="538"/>
      <c r="J43" s="538"/>
      <c r="K43" s="538"/>
      <c r="L43" s="538"/>
      <c r="M43" s="538"/>
      <c r="N43" s="538"/>
      <c r="O43" s="423"/>
      <c r="P43" s="423"/>
      <c r="Q43" s="423"/>
      <c r="R43" s="539"/>
      <c r="S43" s="539"/>
      <c r="T43" s="540"/>
    </row>
    <row r="44" spans="1:29" ht="14.25" customHeight="1">
      <c r="A44" s="1449" t="s">
        <v>1062</v>
      </c>
      <c r="B44" s="1450"/>
      <c r="C44" s="1450"/>
      <c r="D44" s="1450"/>
      <c r="E44" s="1450"/>
      <c r="F44" s="1450"/>
      <c r="G44" s="1450"/>
      <c r="H44" s="1450"/>
      <c r="I44" s="1450"/>
      <c r="J44" s="1450"/>
      <c r="K44" s="1450"/>
      <c r="L44" s="1450"/>
      <c r="M44" s="1450"/>
      <c r="N44" s="1450"/>
      <c r="O44" s="1450"/>
      <c r="P44" s="1450"/>
      <c r="Q44" s="1450"/>
      <c r="R44" s="1450"/>
      <c r="S44" s="1450"/>
      <c r="T44" s="1451"/>
    </row>
    <row r="45" spans="1:29" ht="14.25" customHeight="1" thickBot="1">
      <c r="A45" s="1452" t="s">
        <v>592</v>
      </c>
      <c r="B45" s="1453"/>
      <c r="C45" s="1453"/>
      <c r="D45" s="1453"/>
      <c r="E45" s="1453"/>
      <c r="F45" s="1453"/>
      <c r="G45" s="1453"/>
      <c r="H45" s="1453"/>
      <c r="I45" s="1453"/>
      <c r="J45" s="1453"/>
      <c r="K45" s="1453"/>
      <c r="L45" s="1453"/>
      <c r="M45" s="1453"/>
      <c r="N45" s="1453"/>
      <c r="O45" s="1453"/>
      <c r="P45" s="1453"/>
      <c r="Q45" s="1453"/>
      <c r="R45" s="1453"/>
      <c r="S45" s="1453"/>
      <c r="T45" s="1454"/>
    </row>
    <row r="46" spans="1:29" ht="21.75" customHeight="1">
      <c r="A46" s="54"/>
    </row>
  </sheetData>
  <mergeCells count="238"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AC5:AD6"/>
    <mergeCell ref="AE5:AF6"/>
    <mergeCell ref="AG5:AH6"/>
    <mergeCell ref="AI5:AJ6"/>
    <mergeCell ref="B6:E6"/>
    <mergeCell ref="F6:K6"/>
    <mergeCell ref="AE4:AF4"/>
    <mergeCell ref="AG4:AH4"/>
    <mergeCell ref="AI4:AJ4"/>
    <mergeCell ref="B5:E5"/>
    <mergeCell ref="F5:K5"/>
    <mergeCell ref="M5:O6"/>
    <mergeCell ref="P5:T6"/>
    <mergeCell ref="W5:X6"/>
    <mergeCell ref="Y5:Z6"/>
    <mergeCell ref="AA5:AB6"/>
    <mergeCell ref="M4:O4"/>
    <mergeCell ref="P4:T4"/>
    <mergeCell ref="W4:X4"/>
    <mergeCell ref="Y4:Z4"/>
    <mergeCell ref="AA4:AB4"/>
    <mergeCell ref="AC4:AD4"/>
    <mergeCell ref="AC7:AD7"/>
    <mergeCell ref="AG7:AH7"/>
    <mergeCell ref="AI7:AJ7"/>
    <mergeCell ref="B8:E9"/>
    <mergeCell ref="F8:L8"/>
    <mergeCell ref="M8:N8"/>
    <mergeCell ref="O8:R8"/>
    <mergeCell ref="S8:T8"/>
    <mergeCell ref="W8:X8"/>
    <mergeCell ref="Y8:Z8"/>
    <mergeCell ref="B7:E7"/>
    <mergeCell ref="F7:T7"/>
    <mergeCell ref="W7:X7"/>
    <mergeCell ref="Y7:Z7"/>
    <mergeCell ref="AA7:AB7"/>
    <mergeCell ref="AA8:AB8"/>
    <mergeCell ref="AC8:AD8"/>
    <mergeCell ref="AG8:AH8"/>
    <mergeCell ref="AI8:AJ8"/>
    <mergeCell ref="F9:L9"/>
    <mergeCell ref="M9:N9"/>
    <mergeCell ref="O9:R9"/>
    <mergeCell ref="S9:T9"/>
    <mergeCell ref="W9:X10"/>
    <mergeCell ref="Y9:Z10"/>
    <mergeCell ref="AA9:AB10"/>
    <mergeCell ref="AC9:AD10"/>
    <mergeCell ref="AG9:AH10"/>
    <mergeCell ref="AI9:AJ10"/>
    <mergeCell ref="B10:E10"/>
    <mergeCell ref="F10:T10"/>
    <mergeCell ref="A11:A22"/>
    <mergeCell ref="B11:E12"/>
    <mergeCell ref="F11:G11"/>
    <mergeCell ref="H11:I11"/>
    <mergeCell ref="J11:L11"/>
    <mergeCell ref="A7:A10"/>
    <mergeCell ref="M11:O11"/>
    <mergeCell ref="P11:R11"/>
    <mergeCell ref="S11:T11"/>
    <mergeCell ref="F12:G12"/>
    <mergeCell ref="H12:I12"/>
    <mergeCell ref="J12:L12"/>
    <mergeCell ref="M12:O12"/>
    <mergeCell ref="P12:R12"/>
    <mergeCell ref="S12:T12"/>
    <mergeCell ref="AG13:AH13"/>
    <mergeCell ref="AI13:AJ13"/>
    <mergeCell ref="AK13:AL13"/>
    <mergeCell ref="F14:H14"/>
    <mergeCell ref="I14:L14"/>
    <mergeCell ref="M14:Q14"/>
    <mergeCell ref="R14:T14"/>
    <mergeCell ref="AA14:AB14"/>
    <mergeCell ref="AC14:AD14"/>
    <mergeCell ref="AE14:AF14"/>
    <mergeCell ref="F13:H13"/>
    <mergeCell ref="I13:L13"/>
    <mergeCell ref="M13:Q13"/>
    <mergeCell ref="R13:T13"/>
    <mergeCell ref="AE13:AF13"/>
    <mergeCell ref="B17:E20"/>
    <mergeCell ref="AG15:AH16"/>
    <mergeCell ref="AI15:AJ16"/>
    <mergeCell ref="AK15:AL16"/>
    <mergeCell ref="F16:H16"/>
    <mergeCell ref="I16:L16"/>
    <mergeCell ref="M16:Q16"/>
    <mergeCell ref="R16:T16"/>
    <mergeCell ref="AG14:AH14"/>
    <mergeCell ref="AI14:AJ14"/>
    <mergeCell ref="AK14:AL14"/>
    <mergeCell ref="F15:H15"/>
    <mergeCell ref="I15:L15"/>
    <mergeCell ref="M15:Q15"/>
    <mergeCell ref="R15:T15"/>
    <mergeCell ref="AA15:AB16"/>
    <mergeCell ref="AC15:AD16"/>
    <mergeCell ref="AE15:AF16"/>
    <mergeCell ref="B13:E16"/>
    <mergeCell ref="AE17:AF17"/>
    <mergeCell ref="AK17:AL17"/>
    <mergeCell ref="F18:L18"/>
    <mergeCell ref="M18:Q18"/>
    <mergeCell ref="R18:S18"/>
    <mergeCell ref="AA18:AB18"/>
    <mergeCell ref="AC18:AD18"/>
    <mergeCell ref="AE18:AF18"/>
    <mergeCell ref="AG18:AI18"/>
    <mergeCell ref="AK18:AL18"/>
    <mergeCell ref="F17:L17"/>
    <mergeCell ref="M17:Q17"/>
    <mergeCell ref="R17:T17"/>
    <mergeCell ref="AA17:AB17"/>
    <mergeCell ref="AC17:AD17"/>
    <mergeCell ref="AE21:AF22"/>
    <mergeCell ref="AG21:AH22"/>
    <mergeCell ref="AK21:AL22"/>
    <mergeCell ref="F22:G22"/>
    <mergeCell ref="H22:L22"/>
    <mergeCell ref="Q22:T22"/>
    <mergeCell ref="B21:E22"/>
    <mergeCell ref="F21:G21"/>
    <mergeCell ref="H21:L21"/>
    <mergeCell ref="M21:P22"/>
    <mergeCell ref="Q21:T21"/>
    <mergeCell ref="AA21:AB22"/>
    <mergeCell ref="F23:Q23"/>
    <mergeCell ref="R23:T24"/>
    <mergeCell ref="F24:G24"/>
    <mergeCell ref="H24:I24"/>
    <mergeCell ref="J24:K24"/>
    <mergeCell ref="L24:M24"/>
    <mergeCell ref="N24:O24"/>
    <mergeCell ref="P24:Q24"/>
    <mergeCell ref="AC21:AD22"/>
    <mergeCell ref="A29:A36"/>
    <mergeCell ref="B29:E30"/>
    <mergeCell ref="F29:H30"/>
    <mergeCell ref="I29:K30"/>
    <mergeCell ref="L29:N30"/>
    <mergeCell ref="O29:R30"/>
    <mergeCell ref="S29:T30"/>
    <mergeCell ref="B31:E31"/>
    <mergeCell ref="B25:E25"/>
    <mergeCell ref="F25:G25"/>
    <mergeCell ref="H25:I25"/>
    <mergeCell ref="J25:K25"/>
    <mergeCell ref="L25:M25"/>
    <mergeCell ref="N25:O25"/>
    <mergeCell ref="O33:R33"/>
    <mergeCell ref="S33:T33"/>
    <mergeCell ref="B32:E32"/>
    <mergeCell ref="F32:G32"/>
    <mergeCell ref="I32:K32"/>
    <mergeCell ref="L32:N32"/>
    <mergeCell ref="O32:R32"/>
    <mergeCell ref="S32:T32"/>
    <mergeCell ref="F31:G31"/>
    <mergeCell ref="I31:K31"/>
    <mergeCell ref="L31:N31"/>
    <mergeCell ref="O31:R31"/>
    <mergeCell ref="S31:T31"/>
    <mergeCell ref="X38:Z38"/>
    <mergeCell ref="AA38:AC38"/>
    <mergeCell ref="K39:L39"/>
    <mergeCell ref="X39:Z39"/>
    <mergeCell ref="AA39:AC39"/>
    <mergeCell ref="V31:AN31"/>
    <mergeCell ref="B35:E36"/>
    <mergeCell ref="F35:L36"/>
    <mergeCell ref="M35:P35"/>
    <mergeCell ref="M36:P36"/>
    <mergeCell ref="Q36:S36"/>
    <mergeCell ref="A37:E37"/>
    <mergeCell ref="L37:P37"/>
    <mergeCell ref="H26:I26"/>
    <mergeCell ref="J26:K26"/>
    <mergeCell ref="L26:M26"/>
    <mergeCell ref="N26:O26"/>
    <mergeCell ref="P26:Q26"/>
    <mergeCell ref="B34:E34"/>
    <mergeCell ref="F34:G34"/>
    <mergeCell ref="I34:K34"/>
    <mergeCell ref="L34:N34"/>
    <mergeCell ref="O34:R34"/>
    <mergeCell ref="S34:T34"/>
    <mergeCell ref="B33:E33"/>
    <mergeCell ref="F33:G33"/>
    <mergeCell ref="I33:K33"/>
    <mergeCell ref="L33:N33"/>
    <mergeCell ref="A23:A28"/>
    <mergeCell ref="R25:T28"/>
    <mergeCell ref="A44:T44"/>
    <mergeCell ref="A45:T45"/>
    <mergeCell ref="C40:F40"/>
    <mergeCell ref="H40:R40"/>
    <mergeCell ref="C41:F41"/>
    <mergeCell ref="H41:R41"/>
    <mergeCell ref="C42:F42"/>
    <mergeCell ref="H42:R42"/>
    <mergeCell ref="A38:Q38"/>
    <mergeCell ref="F19:L19"/>
    <mergeCell ref="M19:Q19"/>
    <mergeCell ref="R19:S19"/>
    <mergeCell ref="F20:L20"/>
    <mergeCell ref="M20:Q20"/>
    <mergeCell ref="R20:S20"/>
    <mergeCell ref="P27:Q27"/>
    <mergeCell ref="B26:E26"/>
    <mergeCell ref="B28:E28"/>
    <mergeCell ref="F28:G28"/>
    <mergeCell ref="H28:I28"/>
    <mergeCell ref="J28:K28"/>
    <mergeCell ref="L28:M28"/>
    <mergeCell ref="N28:O28"/>
    <mergeCell ref="P28:Q28"/>
    <mergeCell ref="B27:E27"/>
    <mergeCell ref="F27:G27"/>
    <mergeCell ref="H27:I27"/>
    <mergeCell ref="J27:K27"/>
    <mergeCell ref="L27:M27"/>
    <mergeCell ref="N27:O27"/>
    <mergeCell ref="F26:G26"/>
    <mergeCell ref="P25:Q25"/>
    <mergeCell ref="B23:E24"/>
  </mergeCells>
  <phoneticPr fontId="2" type="noConversion"/>
  <conditionalFormatting sqref="A18:A20">
    <cfRule type="cellIs" dxfId="28" priority="3" operator="equal">
      <formula>"값없음"</formula>
    </cfRule>
  </conditionalFormatting>
  <conditionalFormatting sqref="A13:B13 A14:A16 I14:I16">
    <cfRule type="cellIs" dxfId="27" priority="19" operator="equal">
      <formula>"값없음"</formula>
    </cfRule>
  </conditionalFormatting>
  <conditionalFormatting sqref="A1:T7 M8 O8 S8:S9 A8:F12 H11:H12 J11:J12 M11:M12 P11:P12 S11:S12 M16:M17 A17:B17 A21:B21 H21:H22 A22 A23:T23 B24:T24 B25:R25 A29:T29 B30:T30 H31:I34 L31:L34 S31:S34 B31:B35 F31:F35 A37:T39 A40:B42">
    <cfRule type="cellIs" dxfId="26" priority="23" operator="equal">
      <formula>"값없음"</formula>
    </cfRule>
  </conditionalFormatting>
  <conditionalFormatting sqref="A43:T46">
    <cfRule type="cellIs" dxfId="25" priority="20" operator="equal">
      <formula>"값없음"</formula>
    </cfRule>
  </conditionalFormatting>
  <conditionalFormatting sqref="B26:Q28">
    <cfRule type="cellIs" dxfId="24" priority="4" operator="equal">
      <formula>"값없음"</formula>
    </cfRule>
  </conditionalFormatting>
  <conditionalFormatting sqref="C40:F42">
    <cfRule type="cellIs" dxfId="23" priority="16" operator="equal">
      <formula>"값없음"</formula>
    </cfRule>
  </conditionalFormatting>
  <conditionalFormatting sqref="F13:F22 R17:T20">
    <cfRule type="cellIs" dxfId="22" priority="1" operator="equal">
      <formula>"값없음"</formula>
    </cfRule>
  </conditionalFormatting>
  <conditionalFormatting sqref="H40:H42">
    <cfRule type="cellIs" dxfId="21" priority="9" operator="equal">
      <formula>"값없음"</formula>
    </cfRule>
  </conditionalFormatting>
  <conditionalFormatting sqref="M21">
    <cfRule type="cellIs" dxfId="20" priority="14" operator="equal">
      <formula>"값없음"</formula>
    </cfRule>
  </conditionalFormatting>
  <conditionalFormatting sqref="M35:P36">
    <cfRule type="cellIs" dxfId="19" priority="13" operator="equal">
      <formula>"값없음"</formula>
    </cfRule>
  </conditionalFormatting>
  <conditionalFormatting sqref="O31:O34">
    <cfRule type="cellIs" dxfId="18" priority="21" operator="equal">
      <formula>"값없음"</formula>
    </cfRule>
  </conditionalFormatting>
  <conditionalFormatting sqref="Q35:Q36">
    <cfRule type="cellIs" dxfId="17" priority="6" operator="equal">
      <formula>"값없음"</formula>
    </cfRule>
  </conditionalFormatting>
  <conditionalFormatting sqref="R13:R16">
    <cfRule type="cellIs" dxfId="16" priority="18" operator="equal">
      <formula>"값없음"</formula>
    </cfRule>
  </conditionalFormatting>
  <conditionalFormatting sqref="S40:T42">
    <cfRule type="cellIs" dxfId="15" priority="11" operator="equal">
      <formula>"값없음"</formula>
    </cfRule>
  </conditionalFormatting>
  <conditionalFormatting sqref="T35:U36">
    <cfRule type="cellIs" dxfId="14" priority="7" operator="equal">
      <formula>"값없음"</formula>
    </cfRule>
  </conditionalFormatting>
  <conditionalFormatting sqref="V31">
    <cfRule type="cellIs" dxfId="13" priority="5" operator="equal">
      <formula>"값없음"</formula>
    </cfRule>
  </conditionalFormatting>
  <dataValidations count="2">
    <dataValidation type="list" allowBlank="1" showInputMessage="1" showErrorMessage="1" sqref="B32:B34 B31:E31" xr:uid="{FF7EFF0B-88F4-426E-A0BA-B78992A03FEB}">
      <formula1>항목</formula1>
    </dataValidation>
    <dataValidation type="list" allowBlank="1" showInputMessage="1" showErrorMessage="1" sqref="L37:P37" xr:uid="{86DCDB01-80D5-4F4C-A03A-58B25C758754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scale="92" orientation="portrait" r:id="rId1"/>
  <headerFooter scaleWithDoc="0">
    <oddHeader>&amp;C
&amp;G</oddHeader>
    <oddFooter>&amp;L&amp;"Malgun Gothic Semilight,보통"&amp;9fKET-A-QP-17-02-01(2)&amp;"굴림체,보통"                                                &amp;R&amp;"돋움,굵게"&amp;9&amp;G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D820-FA18-4F15-B68B-40F24FCA2044}">
  <sheetPr>
    <tabColor theme="3" tint="0.39997558519241921"/>
  </sheetPr>
  <dimension ref="B8:K13"/>
  <sheetViews>
    <sheetView workbookViewId="0">
      <selection activeCell="AE5" sqref="AE5:AF6"/>
    </sheetView>
  </sheetViews>
  <sheetFormatPr defaultRowHeight="16.899999999999999"/>
  <cols>
    <col min="11" max="11" width="9" customWidth="1"/>
  </cols>
  <sheetData>
    <row r="8" spans="2:11" ht="17.25" thickBot="1"/>
    <row r="9" spans="2:11">
      <c r="B9" s="863" t="s">
        <v>1226</v>
      </c>
      <c r="C9" s="1620" t="s">
        <v>1227</v>
      </c>
      <c r="D9" s="1621"/>
      <c r="E9" s="864" t="s">
        <v>1228</v>
      </c>
      <c r="F9" s="865"/>
      <c r="G9" s="866" t="s">
        <v>1229</v>
      </c>
      <c r="H9" s="864" t="s">
        <v>1230</v>
      </c>
      <c r="I9" s="865"/>
      <c r="J9" s="866" t="s">
        <v>1231</v>
      </c>
      <c r="K9" s="867" t="s">
        <v>1232</v>
      </c>
    </row>
    <row r="10" spans="2:11">
      <c r="B10" s="924" t="s">
        <v>1285</v>
      </c>
      <c r="C10" s="925" t="s">
        <v>1286</v>
      </c>
      <c r="D10" s="925" t="s">
        <v>1287</v>
      </c>
      <c r="E10" s="925"/>
      <c r="F10" s="925"/>
      <c r="G10" s="925"/>
      <c r="H10" s="925">
        <f>1739+57.5</f>
        <v>1796.5</v>
      </c>
      <c r="I10" s="925" t="s">
        <v>1288</v>
      </c>
      <c r="J10" s="925" t="str">
        <f>ROUND(H10/16,2)&amp;" "&amp;"kg"</f>
        <v>112.28 kg</v>
      </c>
      <c r="K10" s="924" t="s">
        <v>1289</v>
      </c>
    </row>
    <row r="11" spans="2:11">
      <c r="B11" s="924" t="s">
        <v>1290</v>
      </c>
      <c r="C11" s="925" t="s">
        <v>1286</v>
      </c>
      <c r="D11" s="925" t="s">
        <v>1291</v>
      </c>
      <c r="E11" s="925"/>
      <c r="F11" s="925"/>
      <c r="G11" s="925"/>
      <c r="H11" s="925">
        <f>838+70</f>
        <v>908</v>
      </c>
      <c r="I11" s="925" t="s">
        <v>1288</v>
      </c>
      <c r="J11" s="925" t="str">
        <f>ROUND(H11/16,2)&amp;" "&amp;"kg"</f>
        <v>56.75 kg</v>
      </c>
      <c r="K11" s="924" t="s">
        <v>1292</v>
      </c>
    </row>
    <row r="12" spans="2:11">
      <c r="B12" s="868"/>
      <c r="C12" s="869"/>
      <c r="D12" s="869"/>
      <c r="E12" s="869"/>
      <c r="F12" s="869"/>
      <c r="G12" s="869"/>
      <c r="H12" s="869"/>
      <c r="I12" s="869"/>
      <c r="J12" s="869"/>
      <c r="K12" s="868"/>
    </row>
    <row r="13" spans="2:11">
      <c r="B13" s="868"/>
      <c r="C13" s="869"/>
      <c r="D13" s="869"/>
      <c r="E13" s="869"/>
      <c r="F13" s="869"/>
      <c r="G13" s="869"/>
      <c r="H13" s="869"/>
      <c r="I13" s="869"/>
      <c r="J13" s="869"/>
      <c r="K13" s="868"/>
    </row>
  </sheetData>
  <mergeCells count="1">
    <mergeCell ref="C9:D9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54C-4BBE-4A77-B1E9-01CA65C6103C}">
  <sheetPr>
    <tabColor theme="7" tint="0.59999389629810485"/>
  </sheetPr>
  <dimension ref="A1:BI48"/>
  <sheetViews>
    <sheetView tabSelected="1" view="pageBreakPreview" topLeftCell="B8" zoomScaleNormal="100" zoomScaleSheetLayoutView="100" workbookViewId="0">
      <selection activeCell="AD27" sqref="AD27"/>
    </sheetView>
  </sheetViews>
  <sheetFormatPr defaultColWidth="9" defaultRowHeight="13.5"/>
  <cols>
    <col min="1" max="1" width="13" style="569" hidden="1" customWidth="1"/>
    <col min="2" max="6" width="3.875" style="569" customWidth="1"/>
    <col min="7" max="16" width="4.75" style="569" customWidth="1"/>
    <col min="17" max="18" width="3.875" style="569" customWidth="1"/>
    <col min="19" max="22" width="4" style="569" customWidth="1"/>
    <col min="23" max="23" width="7.75" style="569" customWidth="1"/>
    <col min="24" max="24" width="7" style="569" customWidth="1"/>
    <col min="25" max="70" width="4.75" style="569" customWidth="1"/>
    <col min="71" max="16384" width="9" style="569"/>
  </cols>
  <sheetData>
    <row r="1" spans="2:61" ht="27.95" customHeight="1">
      <c r="B1" s="1790" t="s">
        <v>1097</v>
      </c>
      <c r="C1" s="1790"/>
      <c r="D1" s="1790"/>
      <c r="E1" s="1790"/>
      <c r="F1" s="1790"/>
      <c r="G1" s="1790"/>
      <c r="H1" s="1790"/>
      <c r="I1" s="1790"/>
      <c r="J1" s="1790"/>
      <c r="K1" s="1790"/>
      <c r="L1" s="1790"/>
      <c r="M1" s="1790"/>
      <c r="N1" s="1790"/>
      <c r="O1" s="1790"/>
      <c r="P1" s="1790"/>
      <c r="Q1" s="1790"/>
      <c r="R1" s="1790"/>
      <c r="S1" s="1790"/>
      <c r="T1" s="1790"/>
      <c r="U1" s="1790"/>
      <c r="V1" s="1790"/>
      <c r="W1" s="1790"/>
      <c r="X1" s="1790"/>
      <c r="Y1" s="568"/>
      <c r="Z1" s="568"/>
      <c r="AA1" s="1627" t="s">
        <v>887</v>
      </c>
      <c r="AB1" s="1628"/>
      <c r="AC1" s="1628" t="s">
        <v>425</v>
      </c>
      <c r="AD1" s="1628"/>
      <c r="AE1" s="1628" t="s">
        <v>426</v>
      </c>
      <c r="AF1" s="1628"/>
      <c r="AG1" s="1629"/>
    </row>
    <row r="2" spans="2:61" ht="20.100000000000001" customHeight="1" thickBot="1"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638" t="s">
        <v>1098</v>
      </c>
      <c r="R2" s="639"/>
      <c r="S2" s="640" t="str">
        <f>"KGAR-"&amp;TEXT('먼지측정 사전 Data'!N6,"yy")&amp;"-"&amp;'먼지측정 사전 Data'!O4</f>
        <v>KGAR-26-</v>
      </c>
      <c r="T2" s="640"/>
      <c r="U2" s="640"/>
      <c r="V2" s="641"/>
      <c r="W2" s="647" t="str">
        <f>IF('먼지측정 사전 Data'!P4="","",'먼지측정 사전 Data'!P4)</f>
        <v/>
      </c>
      <c r="X2" s="648"/>
      <c r="Y2" s="568"/>
      <c r="Z2" s="568"/>
      <c r="AA2" s="1630" t="s">
        <v>1295</v>
      </c>
      <c r="AB2" s="1631"/>
      <c r="AC2" s="1632"/>
      <c r="AD2" s="1631"/>
      <c r="AE2" s="1633"/>
      <c r="AF2" s="1631"/>
      <c r="AG2" s="1634"/>
      <c r="AH2" s="901"/>
      <c r="AI2" s="901"/>
      <c r="AJ2" s="902"/>
      <c r="AK2" s="901"/>
      <c r="AL2" s="901"/>
      <c r="AM2" s="901"/>
      <c r="AO2" s="901"/>
      <c r="AP2" s="901"/>
      <c r="AQ2" s="902"/>
      <c r="AR2" s="901"/>
      <c r="AS2" s="901"/>
      <c r="AT2" s="901"/>
      <c r="AV2" s="901"/>
      <c r="AW2" s="901"/>
      <c r="AX2" s="902"/>
      <c r="AY2" s="901"/>
      <c r="AZ2" s="901"/>
      <c r="BA2" s="901"/>
      <c r="BC2" s="901"/>
      <c r="BD2" s="901"/>
      <c r="BE2" s="902"/>
      <c r="BF2" s="901"/>
      <c r="BG2" s="901"/>
      <c r="BH2" s="901"/>
    </row>
    <row r="3" spans="2:61" ht="12" customHeight="1">
      <c r="B3" s="1726" t="s">
        <v>1099</v>
      </c>
      <c r="C3" s="1741"/>
      <c r="D3" s="1741"/>
      <c r="E3" s="1723"/>
      <c r="F3" s="1726">
        <f>'대기측정 분석결과서'!E4</f>
        <v>0</v>
      </c>
      <c r="G3" s="1741"/>
      <c r="H3" s="1741"/>
      <c r="I3" s="1741"/>
      <c r="J3" s="1723"/>
      <c r="K3" s="1802" t="s">
        <v>1169</v>
      </c>
      <c r="L3" s="1803"/>
      <c r="M3" s="1803"/>
      <c r="N3" s="1804">
        <f>'대기측정 분석결과서'!H11</f>
        <v>0</v>
      </c>
      <c r="O3" s="1804"/>
      <c r="P3" s="933" t="s">
        <v>498</v>
      </c>
      <c r="Q3" s="1794" t="s">
        <v>1100</v>
      </c>
      <c r="R3" s="1795"/>
      <c r="S3" s="1795"/>
      <c r="T3" s="1798" t="str">
        <f>'먼지측정 사전 Data'!L8&amp;" ℃"</f>
        <v xml:space="preserve"> ℃</v>
      </c>
      <c r="U3" s="1799"/>
      <c r="V3" s="1794" t="s">
        <v>1101</v>
      </c>
      <c r="W3" s="1795"/>
      <c r="X3" s="1799" t="str">
        <f>'먼지측정 사전 Data'!N8&amp;" %"</f>
        <v xml:space="preserve"> %</v>
      </c>
      <c r="Y3" s="574"/>
      <c r="Z3" s="574"/>
      <c r="AA3" s="1627" t="s">
        <v>886</v>
      </c>
      <c r="AB3" s="1628"/>
      <c r="AC3" s="1628" t="s">
        <v>425</v>
      </c>
      <c r="AD3" s="1628"/>
      <c r="AE3" s="1628" t="s">
        <v>426</v>
      </c>
      <c r="AF3" s="1628"/>
      <c r="AG3" s="1629"/>
      <c r="AH3" s="901"/>
      <c r="AI3" s="901"/>
      <c r="AJ3" s="902"/>
      <c r="AK3" s="901"/>
      <c r="AL3" s="901"/>
      <c r="AM3" s="901"/>
      <c r="AO3" s="901"/>
      <c r="AP3" s="901"/>
      <c r="AQ3" s="902"/>
      <c r="AR3" s="901"/>
      <c r="AS3" s="901"/>
      <c r="AT3" s="901"/>
      <c r="AV3" s="901"/>
      <c r="AW3" s="901"/>
      <c r="AX3" s="902"/>
      <c r="AY3" s="901"/>
      <c r="AZ3" s="901"/>
      <c r="BA3" s="901"/>
      <c r="BC3" s="901"/>
      <c r="BD3" s="901"/>
      <c r="BE3" s="902"/>
      <c r="BF3" s="901"/>
      <c r="BG3" s="901"/>
      <c r="BH3" s="901"/>
    </row>
    <row r="4" spans="2:61" ht="12" customHeight="1" thickBot="1">
      <c r="B4" s="1724"/>
      <c r="C4" s="1742"/>
      <c r="D4" s="1742"/>
      <c r="E4" s="1725"/>
      <c r="F4" s="1724"/>
      <c r="G4" s="1742"/>
      <c r="H4" s="1742"/>
      <c r="I4" s="1742"/>
      <c r="J4" s="1725"/>
      <c r="K4" s="1791" t="s">
        <v>359</v>
      </c>
      <c r="L4" s="1792"/>
      <c r="M4" s="1792"/>
      <c r="N4" s="1792"/>
      <c r="O4" s="1792"/>
      <c r="P4" s="1793"/>
      <c r="Q4" s="1796"/>
      <c r="R4" s="1797"/>
      <c r="S4" s="1797"/>
      <c r="T4" s="1800"/>
      <c r="U4" s="1801"/>
      <c r="V4" s="1796"/>
      <c r="W4" s="1797"/>
      <c r="X4" s="1801"/>
      <c r="Y4" s="574"/>
      <c r="Z4" s="574"/>
      <c r="AA4" s="1622" t="s">
        <v>1296</v>
      </c>
      <c r="AB4" s="1623"/>
      <c r="AC4" s="1624"/>
      <c r="AD4" s="1623"/>
      <c r="AE4" s="1625"/>
      <c r="AF4" s="1623"/>
      <c r="AG4" s="1626"/>
      <c r="AH4" s="901"/>
      <c r="AI4" s="901"/>
      <c r="AJ4" s="902"/>
      <c r="AK4" s="901"/>
      <c r="AL4" s="901"/>
      <c r="AM4" s="901"/>
      <c r="AO4" s="901"/>
      <c r="AP4" s="901"/>
      <c r="AQ4" s="902"/>
      <c r="AR4" s="901"/>
      <c r="AS4" s="901"/>
      <c r="AT4" s="901"/>
      <c r="AV4" s="901"/>
      <c r="AW4" s="901"/>
      <c r="AX4" s="902"/>
      <c r="AY4" s="901"/>
      <c r="AZ4" s="901"/>
      <c r="BA4" s="901"/>
      <c r="BC4" s="901"/>
      <c r="BD4" s="901"/>
      <c r="BE4" s="902"/>
      <c r="BF4" s="901"/>
      <c r="BG4" s="901"/>
      <c r="BH4" s="901"/>
    </row>
    <row r="5" spans="2:61" ht="24" customHeight="1">
      <c r="B5" s="1669" t="s">
        <v>1102</v>
      </c>
      <c r="C5" s="1669"/>
      <c r="D5" s="1669"/>
      <c r="E5" s="1669"/>
      <c r="F5" s="1669">
        <f>'대기측정 분석결과서'!E9</f>
        <v>0</v>
      </c>
      <c r="G5" s="1669"/>
      <c r="H5" s="1669"/>
      <c r="I5" s="1669"/>
      <c r="J5" s="1669"/>
      <c r="K5" s="644"/>
      <c r="L5" s="646"/>
      <c r="M5" s="643"/>
      <c r="N5" s="635"/>
      <c r="O5" s="635"/>
      <c r="P5" s="642"/>
      <c r="Q5" s="1734" t="s">
        <v>1103</v>
      </c>
      <c r="R5" s="1735"/>
      <c r="S5" s="1735"/>
      <c r="T5" s="1683" t="str">
        <f>IF('먼지측정 사전 Data'!O8="정온","정온",'먼지측정 사전 Data'!O8&amp;" 풍")</f>
        <v xml:space="preserve"> 풍</v>
      </c>
      <c r="U5" s="1672"/>
      <c r="V5" s="1782" t="s">
        <v>1104</v>
      </c>
      <c r="W5" s="1783"/>
      <c r="X5" s="934">
        <f>'먼지측정 사전 Data'!J8</f>
        <v>0</v>
      </c>
      <c r="Y5" s="574"/>
      <c r="Z5" s="642"/>
      <c r="AA5" s="646"/>
      <c r="AB5" s="915"/>
      <c r="AC5" s="646"/>
      <c r="AD5" s="646"/>
      <c r="AE5" s="644"/>
      <c r="AF5" s="644"/>
      <c r="AG5" s="646"/>
      <c r="AH5" s="643"/>
      <c r="AI5" s="635"/>
      <c r="AJ5" s="635"/>
      <c r="AK5" s="642"/>
      <c r="AL5" s="642"/>
      <c r="AM5" s="635"/>
      <c r="AN5" s="643"/>
      <c r="AO5" s="635"/>
      <c r="AP5" s="635"/>
      <c r="AQ5" s="642"/>
      <c r="AR5" s="642"/>
      <c r="AS5" s="635"/>
      <c r="AT5" s="643"/>
      <c r="AU5" s="635"/>
      <c r="AV5" s="635"/>
      <c r="AW5" s="642"/>
      <c r="AX5" s="642"/>
      <c r="AY5" s="635"/>
      <c r="AZ5" s="643"/>
      <c r="BA5" s="635"/>
      <c r="BB5" s="635"/>
      <c r="BC5" s="642"/>
      <c r="BD5" s="642"/>
      <c r="BE5" s="635"/>
      <c r="BF5" s="643"/>
      <c r="BG5" s="635"/>
      <c r="BH5" s="635"/>
      <c r="BI5" s="642"/>
    </row>
    <row r="6" spans="2:61" ht="24" customHeight="1">
      <c r="B6" s="1669" t="s">
        <v>1105</v>
      </c>
      <c r="C6" s="1669"/>
      <c r="D6" s="1669"/>
      <c r="E6" s="1669"/>
      <c r="F6" s="1669">
        <f>'대기측정 분석결과서'!E13</f>
        <v>0</v>
      </c>
      <c r="G6" s="1669"/>
      <c r="H6" s="1669"/>
      <c r="I6" s="1669"/>
      <c r="J6" s="1669"/>
      <c r="K6" s="644"/>
      <c r="L6" s="635"/>
      <c r="M6" s="643"/>
      <c r="N6" s="635"/>
      <c r="O6" s="635"/>
      <c r="P6" s="644"/>
      <c r="Q6" s="1734" t="s">
        <v>1106</v>
      </c>
      <c r="R6" s="1735"/>
      <c r="S6" s="1735"/>
      <c r="T6" s="1696" t="str">
        <f>'먼지측정 사전 Data'!P8&amp;" m/s"</f>
        <v xml:space="preserve"> m/s</v>
      </c>
      <c r="U6" s="1697"/>
      <c r="V6" s="1788" t="s">
        <v>1107</v>
      </c>
      <c r="W6" s="1789"/>
      <c r="X6" s="935">
        <f>'먼지측정 사전 Data'!H65</f>
        <v>0</v>
      </c>
      <c r="Y6" s="574"/>
      <c r="Z6" s="644"/>
      <c r="AA6" s="635"/>
      <c r="AB6" s="643"/>
      <c r="AC6" s="635"/>
      <c r="AD6" s="635"/>
      <c r="AE6" s="644"/>
      <c r="AF6" s="644"/>
      <c r="AG6" s="635"/>
      <c r="AH6" s="643"/>
      <c r="AI6" s="635"/>
      <c r="AJ6" s="635"/>
      <c r="AK6" s="644"/>
      <c r="AL6" s="644"/>
      <c r="AM6" s="635"/>
      <c r="AN6" s="643"/>
      <c r="AO6" s="635"/>
      <c r="AP6" s="635"/>
      <c r="AQ6" s="644"/>
      <c r="AR6" s="644"/>
      <c r="AS6" s="635"/>
      <c r="AT6" s="643"/>
      <c r="AU6" s="635"/>
      <c r="AV6" s="635"/>
      <c r="AW6" s="644"/>
      <c r="AX6" s="644"/>
      <c r="AY6" s="635"/>
      <c r="AZ6" s="643"/>
      <c r="BA6" s="635"/>
      <c r="BB6" s="635"/>
      <c r="BC6" s="644"/>
      <c r="BD6" s="644"/>
      <c r="BE6" s="635"/>
      <c r="BF6" s="643"/>
      <c r="BG6" s="635"/>
      <c r="BH6" s="635"/>
      <c r="BI6" s="644"/>
    </row>
    <row r="7" spans="2:61" ht="24" customHeight="1">
      <c r="B7" s="1669" t="s">
        <v>1108</v>
      </c>
      <c r="C7" s="1669"/>
      <c r="D7" s="1669"/>
      <c r="E7" s="1669"/>
      <c r="F7" s="1784">
        <f>'대기측정 분석결과서'!Z1</f>
        <v>0</v>
      </c>
      <c r="G7" s="1784"/>
      <c r="H7" s="1784"/>
      <c r="I7" s="1784"/>
      <c r="J7" s="1784"/>
      <c r="K7" s="644"/>
      <c r="L7" s="635"/>
      <c r="M7" s="643"/>
      <c r="N7" s="635"/>
      <c r="O7" s="635"/>
      <c r="P7" s="644"/>
      <c r="Q7" s="1782" t="s">
        <v>1109</v>
      </c>
      <c r="R7" s="1783"/>
      <c r="S7" s="1783"/>
      <c r="T7" s="1783"/>
      <c r="U7" s="1783"/>
      <c r="V7" s="1783" t="str">
        <f>'먼지측정 사전 Data'!H20&amp;" mmHg"</f>
        <v>0 mmHg</v>
      </c>
      <c r="W7" s="1783"/>
      <c r="X7" s="1785"/>
      <c r="Y7" s="574"/>
      <c r="Z7" s="644"/>
      <c r="AA7" s="635"/>
      <c r="AB7" s="643"/>
      <c r="AC7" s="635"/>
      <c r="AD7" s="635"/>
      <c r="AE7" s="644"/>
      <c r="AF7" s="644"/>
      <c r="AG7" s="635"/>
      <c r="AH7" s="643"/>
      <c r="AI7" s="635"/>
      <c r="AJ7" s="635"/>
      <c r="AK7" s="644"/>
      <c r="AL7" s="644"/>
      <c r="AM7" s="635"/>
      <c r="AN7" s="643"/>
      <c r="AO7" s="635"/>
      <c r="AP7" s="635"/>
      <c r="AQ7" s="644"/>
      <c r="AR7" s="644"/>
      <c r="AS7" s="635"/>
      <c r="AT7" s="643"/>
      <c r="AU7" s="635"/>
      <c r="AV7" s="635"/>
      <c r="AW7" s="644"/>
      <c r="AX7" s="644"/>
      <c r="AY7" s="635"/>
      <c r="AZ7" s="643"/>
      <c r="BA7" s="635"/>
      <c r="BB7" s="635"/>
      <c r="BC7" s="644"/>
      <c r="BD7" s="644"/>
      <c r="BE7" s="635"/>
      <c r="BF7" s="643"/>
      <c r="BG7" s="635"/>
      <c r="BH7" s="635"/>
      <c r="BI7" s="644"/>
    </row>
    <row r="8" spans="2:61" ht="24" customHeight="1">
      <c r="B8" s="1669" t="s">
        <v>1171</v>
      </c>
      <c r="C8" s="1669"/>
      <c r="D8" s="1669"/>
      <c r="E8" s="1669"/>
      <c r="F8" s="936" t="str">
        <f>'먼지측정 사전 Data'!H6&amp;" : "&amp;IF('먼지측정 사전 Data'!I6&lt;10,"0"&amp;'먼지측정 사전 Data'!I6,'먼지측정 사전 Data'!I6)</f>
        <v xml:space="preserve"> : 0</v>
      </c>
      <c r="G8" s="937"/>
      <c r="H8" s="938" t="s">
        <v>741</v>
      </c>
      <c r="I8" s="939" t="str">
        <f>'먼지측정 사전 Data'!K6&amp;" : "&amp;IF('먼지측정 사전 Data'!L6&lt;10,"0"&amp;'먼지측정 사전 Data'!L6,'먼지측정 사전 Data'!L6)</f>
        <v xml:space="preserve"> : 0</v>
      </c>
      <c r="J8" s="940"/>
      <c r="K8" s="906"/>
      <c r="L8" s="642"/>
      <c r="M8" s="905"/>
      <c r="N8" s="642"/>
      <c r="O8" s="642"/>
      <c r="P8" s="644"/>
      <c r="Q8" s="1734" t="s">
        <v>366</v>
      </c>
      <c r="R8" s="1735"/>
      <c r="S8" s="1683">
        <f>'먼지측정 사전 Data'!H63</f>
        <v>0</v>
      </c>
      <c r="T8" s="1683"/>
      <c r="U8" s="1672"/>
      <c r="V8" s="941" t="s">
        <v>367</v>
      </c>
      <c r="W8" s="1780">
        <f>'먼지측정 사전 Data'!H64</f>
        <v>0</v>
      </c>
      <c r="X8" s="1781"/>
      <c r="Y8" s="574"/>
      <c r="Z8" s="645"/>
      <c r="AA8" s="635"/>
      <c r="AB8" s="905"/>
      <c r="AC8" s="642"/>
      <c r="AD8" s="642"/>
      <c r="AE8" s="644"/>
      <c r="AF8" s="906"/>
      <c r="AG8" s="642"/>
      <c r="AH8" s="905"/>
      <c r="AI8" s="642"/>
      <c r="AJ8" s="642"/>
      <c r="AK8" s="644"/>
      <c r="AL8" s="906"/>
      <c r="AM8" s="642"/>
      <c r="AN8" s="643"/>
      <c r="AO8" s="635"/>
      <c r="AP8" s="635"/>
      <c r="AQ8" s="646"/>
      <c r="AR8" s="645"/>
      <c r="AS8" s="635"/>
      <c r="AT8" s="643"/>
      <c r="AU8" s="635"/>
      <c r="AV8" s="635"/>
      <c r="AW8" s="646"/>
      <c r="AX8" s="645"/>
      <c r="AY8" s="635"/>
      <c r="AZ8" s="643"/>
      <c r="BA8" s="635"/>
      <c r="BB8" s="635"/>
      <c r="BC8" s="646"/>
      <c r="BD8" s="645"/>
      <c r="BE8" s="635"/>
      <c r="BF8" s="905"/>
      <c r="BG8" s="642"/>
      <c r="BH8" s="642"/>
      <c r="BI8" s="644"/>
    </row>
    <row r="9" spans="2:61" ht="24" customHeight="1" thickBot="1">
      <c r="B9" s="1669" t="s">
        <v>1110</v>
      </c>
      <c r="C9" s="1669"/>
      <c r="D9" s="1669"/>
      <c r="E9" s="1669"/>
      <c r="F9" s="1786" t="str">
        <f>IF('먼지측정 사전 Data'!D31&gt;0,'먼지측정 사전 Data'!D31,TEXT('먼지측정 사전 Data'!D33,"0.000")&amp;" X "&amp;TEXT('먼지측정 사전 Data'!E33,"0.000"))</f>
        <v>0.000 X 0.000</v>
      </c>
      <c r="G9" s="1786"/>
      <c r="H9" s="1786"/>
      <c r="I9" s="1786"/>
      <c r="J9" s="1786"/>
      <c r="K9" s="1669" t="s">
        <v>435</v>
      </c>
      <c r="L9" s="1669"/>
      <c r="M9" s="1669"/>
      <c r="N9" s="1669"/>
      <c r="O9" s="1669"/>
      <c r="P9" s="1669"/>
      <c r="Q9" s="1782" t="s">
        <v>551</v>
      </c>
      <c r="R9" s="1783"/>
      <c r="S9" s="1783"/>
      <c r="T9" s="1783"/>
      <c r="U9" s="1783"/>
      <c r="V9" s="1787" t="str">
        <f>IF(COUNT('먼지측정 사전 Data'!H72)=0,"-",ROUND('먼지측정 사전 Data'!L94,3))</f>
        <v>-</v>
      </c>
      <c r="W9" s="1787"/>
      <c r="X9" s="634" t="s">
        <v>550</v>
      </c>
      <c r="Y9" s="574"/>
      <c r="Z9" s="574"/>
      <c r="AA9" s="574"/>
      <c r="AB9" s="899"/>
      <c r="AC9" s="899"/>
      <c r="AD9" s="899"/>
      <c r="AE9" s="899"/>
      <c r="AF9" s="1823"/>
      <c r="AG9" s="1823"/>
      <c r="AH9" s="1823"/>
      <c r="AI9" s="1823"/>
      <c r="AJ9" s="1823"/>
      <c r="AK9" s="1823"/>
      <c r="AL9" s="1823"/>
      <c r="AM9" s="1823"/>
      <c r="AN9" s="1823"/>
      <c r="AO9" s="1823"/>
      <c r="AP9" s="1823"/>
      <c r="AQ9" s="1823"/>
      <c r="AR9" s="901"/>
      <c r="AS9" s="901"/>
      <c r="AT9" s="902"/>
      <c r="AU9" s="901"/>
      <c r="AV9" s="901"/>
      <c r="AW9" s="901"/>
      <c r="AZ9" s="901"/>
      <c r="BA9" s="901"/>
      <c r="BB9" s="902"/>
      <c r="BC9" s="901"/>
      <c r="BD9" s="901"/>
      <c r="BE9" s="901"/>
    </row>
    <row r="10" spans="2:61" ht="24" customHeight="1" thickTop="1" thickBot="1">
      <c r="B10" s="1669" t="s">
        <v>1111</v>
      </c>
      <c r="C10" s="1669"/>
      <c r="D10" s="1669"/>
      <c r="E10" s="1669"/>
      <c r="F10" s="1768">
        <f>'먼지측정 사전 Data'!K31</f>
        <v>0</v>
      </c>
      <c r="G10" s="1768"/>
      <c r="H10" s="1768"/>
      <c r="I10" s="1768"/>
      <c r="J10" s="1768"/>
      <c r="K10" s="1669" t="s">
        <v>360</v>
      </c>
      <c r="L10" s="1669"/>
      <c r="M10" s="1733">
        <f>IF(AND('먼지측정 사전 Data'!J33=1,AND('먼지측정 사전 Data'!D31&gt;0.564,'먼지측정 사전 Data'!D31&lt;=1)),'먼지측정 사전 Data'!D40*100,
IF(AND('먼지측정 사전 Data'!J33=1,AND('먼지측정 사전 Data'!D31&gt;1,'먼지측정 사전 Data'!D31&lt;=2)),'먼지측정 사전 Data'!F41*100,
IF(AND('먼지측정 사전 Data'!J33=1,AND('먼지측정 사전 Data'!D31=0,'먼지측정 사전 Data'!K31&lt;=1)),'먼지측정 사전 Data'!E33*100*0.25,
IF('먼지측정 사전 Data'!D31=0,'먼지측정 사전 Data'!E33*50,
IF(AND('먼지측정 사전 Data'!D31&gt;0,'먼지측정 사전 Data'!D31&lt;0.5641),'먼지측정 사전 Data'!D39*100,
IF(AND('먼지측정 사전 Data'!D31&gt;0.564,'먼지측정 사전 Data'!D31&lt;=1),'먼지측정 사전 Data'!D40*100,
IF(AND('먼지측정 사전 Data'!D31&gt;1,'먼지측정 사전 Data'!D31&lt;=2),'먼지측정 사전 Data'!D41*100,
IF(AND('먼지측정 사전 Data'!D31&gt;2,'먼지측정 사전 Data'!D31&lt;=4),'먼지측정 사전 Data'!D42*100,
IF(AND('먼지측정 사전 Data'!D31&gt;4,'먼지측정 사전 Data'!D31&lt;=4.5),'먼지측정 사전 Data'!D43*100,
IF('먼지측정 사전 Data'!D31&gt;4.5,'먼지측정 사전 Data'!D44*100,""))))))))))</f>
        <v>0</v>
      </c>
      <c r="N10" s="1733"/>
      <c r="O10" s="1733"/>
      <c r="P10" s="1733"/>
      <c r="Q10" s="1734" t="s">
        <v>1112</v>
      </c>
      <c r="R10" s="1735"/>
      <c r="S10" s="1735"/>
      <c r="T10" s="1769">
        <f>'먼지측정 사전 Data'!H14</f>
        <v>0</v>
      </c>
      <c r="U10" s="1770"/>
      <c r="V10" s="1771" t="s">
        <v>1113</v>
      </c>
      <c r="W10" s="1772"/>
      <c r="X10" s="942">
        <f>'먼지측정 사전 Data'!H16</f>
        <v>0</v>
      </c>
      <c r="Y10" s="574"/>
      <c r="Z10" s="574"/>
      <c r="AA10" s="574"/>
      <c r="AB10" s="907" t="s">
        <v>609</v>
      </c>
      <c r="AC10" s="907"/>
      <c r="AD10" s="907" t="s">
        <v>631</v>
      </c>
      <c r="AE10" s="907"/>
      <c r="AF10" s="1824" t="s">
        <v>632</v>
      </c>
      <c r="AG10" s="1824"/>
      <c r="AH10" s="1824" t="s">
        <v>740</v>
      </c>
      <c r="AI10" s="1824"/>
      <c r="AJ10" s="1824" t="s">
        <v>883</v>
      </c>
      <c r="AK10" s="1824"/>
      <c r="AL10" s="1824" t="s">
        <v>1070</v>
      </c>
      <c r="AM10" s="1824"/>
      <c r="AN10" s="1824" t="s">
        <v>1070</v>
      </c>
      <c r="AO10" s="1824"/>
      <c r="AP10" s="1823"/>
      <c r="AQ10" s="1823"/>
      <c r="AR10" s="901"/>
      <c r="AS10" s="901"/>
      <c r="AT10" s="902"/>
      <c r="AU10" s="901"/>
      <c r="AV10" s="901"/>
      <c r="AW10" s="901"/>
      <c r="AZ10" s="901"/>
      <c r="BA10" s="901"/>
      <c r="BB10" s="902"/>
      <c r="BC10" s="901"/>
      <c r="BD10" s="901"/>
      <c r="BE10" s="901"/>
    </row>
    <row r="11" spans="2:61" ht="24" customHeight="1" thickTop="1" thickBot="1">
      <c r="B11" s="1669" t="s">
        <v>1114</v>
      </c>
      <c r="C11" s="1669"/>
      <c r="D11" s="1669"/>
      <c r="E11" s="1669"/>
      <c r="F11" s="1773" t="str">
        <f>IF(COUNT('먼지측정 사전 Data'!H72)=0,"-","측정 "&amp;'먼지측정 사전 Data'!A95&amp;" , "&amp;"바탕 "&amp;'먼지측정 사전 Data'!A97)</f>
        <v>-</v>
      </c>
      <c r="G11" s="1773"/>
      <c r="H11" s="1773"/>
      <c r="I11" s="1773"/>
      <c r="J11" s="1773"/>
      <c r="K11" s="1669" t="s">
        <v>361</v>
      </c>
      <c r="L11" s="1669"/>
      <c r="M11" s="1733" t="str">
        <f>IF(AND('먼지측정 사전 Data'!J33=1,AND('먼지측정 사전 Data'!D31&gt;0.564,'먼지측정 사전 Data'!D31&lt;=1)),F9*100-M10,
IF(AND('먼지측정 사전 Data'!J33=1,AND('먼지측정 사전 Data'!D31&gt;1,'먼지측정 사전 Data'!D31&lt;=2)),'먼지측정 사전 Data'!D41*100,
IF(AND('먼지측정 사전 Data'!J33=1,AND('먼지측정 사전 Data'!D31=0,'먼지측정 사전 Data'!K31&lt;=1)),'먼지측정 사전 Data'!E33*100*0.75,
IF('먼지측정 사전 Data'!D31&lt;=1,"",
IF(AND('먼지측정 사전 Data'!D31&gt;0.564,'먼지측정 사전 Data'!D31&lt;=1),'먼지측정 사전 Data'!F40*100,
IF(AND('먼지측정 사전 Data'!D31&gt;1,'먼지측정 사전 Data'!D31&lt;=2),'먼지측정 사전 Data'!F41*100,
IF(AND('먼지측정 사전 Data'!D31&gt;2,'먼지측정 사전 Data'!D31&lt;=4),'먼지측정 사전 Data'!F42*100,
IF(AND('먼지측정 사전 Data'!D31&gt;4,'먼지측정 사전 Data'!D31&lt;=4.5),'먼지측정 사전 Data'!F43*100,
IF('먼지측정 사전 Data'!D31&gt;4.5,'먼지측정 사전 Data'!F44*100,0)))))))))</f>
        <v/>
      </c>
      <c r="N11" s="1733"/>
      <c r="O11" s="1733"/>
      <c r="P11" s="1733"/>
      <c r="Q11" s="1774" t="s">
        <v>1115</v>
      </c>
      <c r="R11" s="1775"/>
      <c r="S11" s="1775"/>
      <c r="T11" s="1776" t="str">
        <f>IF(COUNT('먼지측정 사전 Data'!H72)=0,"-",381)</f>
        <v>-</v>
      </c>
      <c r="U11" s="1777"/>
      <c r="V11" s="1778" t="s">
        <v>1116</v>
      </c>
      <c r="W11" s="1779"/>
      <c r="X11" s="943" t="e">
        <f>'먼지측정 사전 Data'!U71</f>
        <v>#DIV/0!</v>
      </c>
      <c r="Y11" s="574"/>
      <c r="Z11" s="574"/>
      <c r="AA11" s="574"/>
      <c r="AB11" s="652"/>
      <c r="AC11" s="653"/>
      <c r="AD11" s="652"/>
      <c r="AE11" s="653"/>
      <c r="AF11" s="1825"/>
      <c r="AG11" s="1826"/>
      <c r="AH11" s="1825"/>
      <c r="AI11" s="1826"/>
      <c r="AJ11" s="1813"/>
      <c r="AK11" s="1813"/>
      <c r="AL11" s="1813"/>
      <c r="AM11" s="1813"/>
      <c r="AN11" s="1813"/>
      <c r="AO11" s="1813"/>
      <c r="AP11" s="1829"/>
      <c r="AQ11" s="1829"/>
      <c r="AR11" s="903"/>
      <c r="AS11" s="901"/>
      <c r="AT11" s="902"/>
      <c r="AU11" s="901"/>
      <c r="AV11" s="901"/>
      <c r="AW11" s="901"/>
      <c r="AZ11" s="903"/>
      <c r="BA11" s="901"/>
      <c r="BB11" s="902"/>
      <c r="BC11" s="901"/>
      <c r="BD11" s="901"/>
      <c r="BE11" s="901"/>
    </row>
    <row r="12" spans="2:61" ht="24" customHeight="1" thickTop="1" thickBot="1">
      <c r="B12" s="1669" t="s">
        <v>1117</v>
      </c>
      <c r="C12" s="1669"/>
      <c r="D12" s="1669"/>
      <c r="E12" s="1669"/>
      <c r="F12" s="1765" t="s">
        <v>959</v>
      </c>
      <c r="G12" s="1766"/>
      <c r="H12" s="1766"/>
      <c r="I12" s="1766" t="s">
        <v>1118</v>
      </c>
      <c r="J12" s="1767"/>
      <c r="K12" s="1669" t="s">
        <v>362</v>
      </c>
      <c r="L12" s="1669"/>
      <c r="M12" s="1733" t="str">
        <f>IF(AND('먼지측정 사전 Data'!J33=1,AND('먼지측정 사전 Data'!D31&gt;1,'먼지측정 사전 Data'!D31&lt;=2)),F9*100-M11,
IF('먼지측정 사전 Data'!D31&lt;=2,"",
IF(AND('먼지측정 사전 Data'!D31&gt;0.564,'먼지측정 사전 Data'!D31&lt;=1),'먼지측정 사전 Data'!I40*100,
IF(AND('먼지측정 사전 Data'!D31&gt;1,'먼지측정 사전 Data'!D31&lt;=2),'먼지측정 사전 Data'!I41*100,
IF(AND('먼지측정 사전 Data'!D31&gt;2,'먼지측정 사전 Data'!D31&lt;=4),'먼지측정 사전 Data'!I42*100,
IF(AND('먼지측정 사전 Data'!D31&gt;4,'먼지측정 사전 Data'!D31&lt;=4.5),'먼지측정 사전 Data'!I43*100,
IF('먼지측정 사전 Data'!D31&gt;4.5,'먼지측정 사전 Data'!I44*100,0)))))))</f>
        <v/>
      </c>
      <c r="N12" s="1733"/>
      <c r="O12" s="1733"/>
      <c r="P12" s="1733"/>
      <c r="Q12" s="1734" t="s">
        <v>368</v>
      </c>
      <c r="R12" s="1735"/>
      <c r="S12" s="1735"/>
      <c r="T12" s="1735"/>
      <c r="U12" s="1735"/>
      <c r="V12" s="1694" t="str">
        <f>IF(COUNT('먼지측정 사전 Data'!H72)=0,"-",'먼지측정 사전 Data'!R84*10)</f>
        <v>-</v>
      </c>
      <c r="W12" s="1694"/>
      <c r="X12" s="1695"/>
      <c r="Y12" s="574"/>
      <c r="Z12" s="574"/>
      <c r="AA12" s="574"/>
      <c r="AB12" s="654"/>
      <c r="AC12" s="655"/>
      <c r="AD12" s="654"/>
      <c r="AE12" s="655"/>
      <c r="AF12" s="1827"/>
      <c r="AG12" s="1828"/>
      <c r="AH12" s="1827"/>
      <c r="AI12" s="1828"/>
      <c r="AJ12" s="1813"/>
      <c r="AK12" s="1813"/>
      <c r="AL12" s="1813"/>
      <c r="AM12" s="1813"/>
      <c r="AN12" s="1813"/>
      <c r="AO12" s="1813"/>
      <c r="AP12" s="1829"/>
      <c r="AQ12" s="1829"/>
      <c r="AR12" s="900"/>
      <c r="AS12" s="900"/>
      <c r="AT12" s="900"/>
      <c r="AU12" s="900"/>
      <c r="AW12" s="904"/>
    </row>
    <row r="13" spans="2:61" ht="12" customHeight="1" thickTop="1">
      <c r="B13" s="1726" t="s">
        <v>1119</v>
      </c>
      <c r="C13" s="1741"/>
      <c r="D13" s="1741"/>
      <c r="E13" s="1723"/>
      <c r="F13" s="1743">
        <f>'대기측정 분석결과서'!U7</f>
        <v>0</v>
      </c>
      <c r="G13" s="1744"/>
      <c r="H13" s="1744"/>
      <c r="I13" s="1745" t="s">
        <v>1118</v>
      </c>
      <c r="J13" s="1746"/>
      <c r="K13" s="1726" t="s">
        <v>363</v>
      </c>
      <c r="L13" s="1723"/>
      <c r="M13" s="1747" t="str">
        <f>IF(AND('먼지측정 사전 Data'!J33=1,AND('먼지측정 사전 Data'!D31&gt;1,'먼지측정 사전 Data'!D31&lt;=2)),F9*100-M10,
IF('먼지측정 사전 Data'!D31&lt;=4,"",
IF(AND('먼지측정 사전 Data'!D31&gt;0.564,'먼지측정 사전 Data'!D31&lt;=1),'먼지측정 사전 Data'!K40*100,
IF(AND('먼지측정 사전 Data'!D31&gt;1,'먼지측정 사전 Data'!D31&lt;=2),'먼지측정 사전 Data'!K41*100,
IF(AND('먼지측정 사전 Data'!D31&gt;2,'먼지측정 사전 Data'!D31&lt;=4),'먼지측정 사전 Data'!K42*100,
IF(AND('먼지측정 사전 Data'!D31&gt;4,'먼지측정 사전 Data'!D31&lt;=4.5),'먼지측정 사전 Data'!K43*100,
IF('먼지측정 사전 Data'!D31&gt;4.5,'먼지측정 사전 Data'!K44*100,0)))))))</f>
        <v/>
      </c>
      <c r="N13" s="1748"/>
      <c r="O13" s="1748"/>
      <c r="P13" s="1749"/>
      <c r="Q13" s="1753" t="s">
        <v>369</v>
      </c>
      <c r="R13" s="1754"/>
      <c r="S13" s="1754"/>
      <c r="T13" s="1754"/>
      <c r="U13" s="1754"/>
      <c r="V13" s="1757" t="str">
        <f>IF(COUNT('먼지측정 사전 Data'!H72)=0,"-",'먼지측정 사전 Data'!U84)</f>
        <v>-</v>
      </c>
      <c r="W13" s="1757"/>
      <c r="X13" s="1758"/>
      <c r="Y13" s="574"/>
      <c r="Z13" s="574"/>
      <c r="AA13" s="574"/>
      <c r="AB13" s="574"/>
      <c r="AC13" s="574"/>
      <c r="AD13" s="574"/>
      <c r="AE13" s="574"/>
      <c r="AF13" s="574"/>
      <c r="AG13" s="574"/>
      <c r="AH13" s="574"/>
    </row>
    <row r="14" spans="2:61" ht="12" customHeight="1">
      <c r="B14" s="1724"/>
      <c r="C14" s="1742"/>
      <c r="D14" s="1742"/>
      <c r="E14" s="1725"/>
      <c r="F14" s="1761">
        <f>IF('한종_측정기록부 (사용X)'!Q19="외 1명    (인)","-",'대기측정 분석결과서'!X7)</f>
        <v>0</v>
      </c>
      <c r="G14" s="1762"/>
      <c r="H14" s="1762"/>
      <c r="I14" s="1763" t="s">
        <v>1118</v>
      </c>
      <c r="J14" s="1764"/>
      <c r="K14" s="1724"/>
      <c r="L14" s="1725"/>
      <c r="M14" s="1750"/>
      <c r="N14" s="1751"/>
      <c r="O14" s="1751"/>
      <c r="P14" s="1752"/>
      <c r="Q14" s="1755"/>
      <c r="R14" s="1756"/>
      <c r="S14" s="1756"/>
      <c r="T14" s="1756"/>
      <c r="U14" s="1756"/>
      <c r="V14" s="1759"/>
      <c r="W14" s="1759"/>
      <c r="X14" s="1760"/>
      <c r="Y14" s="574"/>
      <c r="Z14" s="574"/>
      <c r="AA14" s="574"/>
      <c r="AB14" s="569" t="s">
        <v>1141</v>
      </c>
      <c r="AD14" s="569" t="s">
        <v>634</v>
      </c>
      <c r="AF14" s="569" t="s">
        <v>633</v>
      </c>
      <c r="AH14" s="574"/>
    </row>
    <row r="15" spans="2:61" ht="24" customHeight="1">
      <c r="B15" s="1727" t="s">
        <v>605</v>
      </c>
      <c r="C15" s="1728"/>
      <c r="D15" s="1728"/>
      <c r="E15" s="1729"/>
      <c r="F15" s="1730" t="s">
        <v>1294</v>
      </c>
      <c r="G15" s="1731"/>
      <c r="H15" s="1731"/>
      <c r="I15" s="1731" t="s">
        <v>1118</v>
      </c>
      <c r="J15" s="1732"/>
      <c r="K15" s="1669" t="s">
        <v>364</v>
      </c>
      <c r="L15" s="1669"/>
      <c r="M15" s="1733" t="str">
        <f>IF('먼지측정 사전 Data'!D31&lt;=4.5,"",'먼지측정 사전 Data'!M44*100)</f>
        <v/>
      </c>
      <c r="N15" s="1733"/>
      <c r="O15" s="1733"/>
      <c r="P15" s="1733"/>
      <c r="Q15" s="1734" t="s">
        <v>373</v>
      </c>
      <c r="R15" s="1735"/>
      <c r="S15" s="1735"/>
      <c r="T15" s="1735"/>
      <c r="U15" s="1735"/>
      <c r="V15" s="1696" t="str">
        <f>IF(COUNT('먼지측정 사전 Data'!H72)=0,"-",'먼지측정 사전 Data'!R87)</f>
        <v>-</v>
      </c>
      <c r="W15" s="1696"/>
      <c r="X15" s="1697"/>
      <c r="Y15" s="574"/>
      <c r="Z15" s="574"/>
      <c r="AA15" s="574"/>
      <c r="AF15"/>
      <c r="AH15" s="574"/>
      <c r="AN15"/>
      <c r="AP15"/>
    </row>
    <row r="16" spans="2:61" ht="17.100000000000001" customHeight="1">
      <c r="B16" s="1739" t="s">
        <v>615</v>
      </c>
      <c r="C16" s="1740"/>
      <c r="D16" s="1740"/>
      <c r="E16" s="1740"/>
      <c r="F16" s="944"/>
      <c r="G16" s="1677" t="s">
        <v>1170</v>
      </c>
      <c r="H16" s="1740"/>
      <c r="I16" s="945" t="str">
        <f>IF(W2="가스상","",IF(W2="수은",(AG19&amp;" : "&amp;IF(AH19&lt;10,"0"&amp;AH19,AH19)),IF(W2="중금속",(AC19&amp;" : "&amp;IF(AD19&lt;10,"0"&amp;AD19,AD19)),(Y19&amp;" : "&amp;IF(Z19&lt;10,"0"&amp;Z19,Z19)))))</f>
        <v>9 : 55</v>
      </c>
      <c r="J16" s="946"/>
      <c r="K16" s="947" t="s">
        <v>741</v>
      </c>
      <c r="L16" s="945" t="str">
        <f>IF(W2="가스상","",IF(W2="수은",(AI19&amp;" : "&amp;IF(AJ19&lt;10,"0"&amp;AJ19,AJ19)),IF(W2="중금속",(AE19&amp;" : "&amp;IF(AF19&lt;10,"0"&amp;AF19,AF19)),(AA19&amp;" : "&amp;IF(AB19&lt;10,"0"&amp;AB19,AB19)))))</f>
        <v>11 : 05</v>
      </c>
      <c r="M16" s="945"/>
      <c r="N16" s="948" t="s">
        <v>138</v>
      </c>
      <c r="O16" s="944"/>
      <c r="P16" s="944"/>
      <c r="Q16" s="944"/>
      <c r="R16" s="944"/>
      <c r="S16" s="944"/>
      <c r="T16" s="944"/>
      <c r="U16" s="944"/>
      <c r="V16" s="944"/>
      <c r="W16" s="944"/>
      <c r="X16" s="949"/>
      <c r="Y16" s="574"/>
      <c r="Z16" s="574"/>
      <c r="AA16" s="574"/>
      <c r="AH16" s="574"/>
    </row>
    <row r="17" spans="2:44" ht="0.95" customHeight="1">
      <c r="B17" s="630"/>
      <c r="C17" s="631"/>
      <c r="D17" s="631"/>
      <c r="E17" s="631"/>
      <c r="F17" s="631"/>
      <c r="G17" s="631"/>
      <c r="H17" s="631"/>
      <c r="I17" s="631"/>
      <c r="J17" s="631"/>
      <c r="K17" s="631"/>
      <c r="L17" s="631"/>
      <c r="M17" s="631"/>
      <c r="N17" s="631"/>
      <c r="O17" s="631"/>
      <c r="P17" s="631"/>
      <c r="Q17" s="631"/>
      <c r="R17" s="631"/>
      <c r="S17" s="631"/>
      <c r="T17" s="631"/>
      <c r="U17" s="631"/>
      <c r="V17" s="631"/>
      <c r="W17" s="631"/>
      <c r="X17" s="950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</row>
    <row r="18" spans="2:44" ht="23.1" customHeight="1">
      <c r="B18" s="1665" t="s">
        <v>1120</v>
      </c>
      <c r="C18" s="1723"/>
      <c r="D18" s="1665" t="s">
        <v>1121</v>
      </c>
      <c r="E18" s="1723"/>
      <c r="F18" s="1665" t="s">
        <v>1122</v>
      </c>
      <c r="G18" s="1723"/>
      <c r="H18" s="1665" t="s">
        <v>1123</v>
      </c>
      <c r="I18" s="1723"/>
      <c r="J18" s="1665" t="s">
        <v>1124</v>
      </c>
      <c r="K18" s="1723"/>
      <c r="L18" s="1671" t="s">
        <v>400</v>
      </c>
      <c r="M18" s="1683"/>
      <c r="N18" s="1672"/>
      <c r="O18" s="1726" t="s">
        <v>88</v>
      </c>
      <c r="P18" s="1723"/>
      <c r="Q18" s="1665" t="s">
        <v>1125</v>
      </c>
      <c r="R18" s="1723"/>
      <c r="S18" s="1665" t="s">
        <v>389</v>
      </c>
      <c r="T18" s="1677"/>
      <c r="U18" s="1665" t="s">
        <v>1126</v>
      </c>
      <c r="V18" s="1738"/>
      <c r="W18" s="951" t="s">
        <v>386</v>
      </c>
      <c r="X18" s="952" t="str">
        <f>IF(COUNT('먼지측정 사전 Data'!H72)=0,"",IF('먼지측정 사전 Data'!U78=1,'먼지측정 사전 Data'!H78,'먼지측정 사전 Data'!H78*1000))</f>
        <v/>
      </c>
      <c r="Y18" s="1810" t="s">
        <v>524</v>
      </c>
      <c r="Z18" s="1807"/>
      <c r="AA18" s="1807"/>
      <c r="AB18" s="1811"/>
      <c r="AC18" s="1812" t="s">
        <v>611</v>
      </c>
      <c r="AD18" s="1807"/>
      <c r="AE18" s="1807"/>
      <c r="AF18" s="1808"/>
      <c r="AG18" s="1812" t="s">
        <v>610</v>
      </c>
      <c r="AH18" s="1807"/>
      <c r="AI18" s="1807"/>
      <c r="AJ18" s="1808"/>
      <c r="AK18" s="1814" t="s">
        <v>688</v>
      </c>
      <c r="AL18" s="1815"/>
      <c r="AM18" s="1815"/>
      <c r="AN18" s="1816"/>
      <c r="AO18" s="1814" t="s">
        <v>689</v>
      </c>
      <c r="AP18" s="1815"/>
      <c r="AQ18" s="1815"/>
      <c r="AR18" s="1816"/>
    </row>
    <row r="19" spans="2:44" ht="23.1" customHeight="1">
      <c r="B19" s="1724"/>
      <c r="C19" s="1725"/>
      <c r="D19" s="1724"/>
      <c r="E19" s="1725"/>
      <c r="F19" s="1724"/>
      <c r="G19" s="1725"/>
      <c r="H19" s="1724"/>
      <c r="I19" s="1725"/>
      <c r="J19" s="1724"/>
      <c r="K19" s="1725"/>
      <c r="L19" s="841" t="s">
        <v>382</v>
      </c>
      <c r="M19" s="953" t="s">
        <v>383</v>
      </c>
      <c r="N19" s="953" t="s">
        <v>384</v>
      </c>
      <c r="O19" s="1724"/>
      <c r="P19" s="1725"/>
      <c r="Q19" s="1724"/>
      <c r="R19" s="1725"/>
      <c r="S19" s="1736"/>
      <c r="T19" s="1737"/>
      <c r="U19" s="1736"/>
      <c r="V19" s="1737"/>
      <c r="W19" s="954" t="s">
        <v>387</v>
      </c>
      <c r="X19" s="953" t="s">
        <v>388</v>
      </c>
      <c r="Y19" s="759">
        <v>9</v>
      </c>
      <c r="Z19" s="604">
        <v>55</v>
      </c>
      <c r="AA19" s="604">
        <v>11</v>
      </c>
      <c r="AB19" s="591">
        <v>5</v>
      </c>
      <c r="AC19" s="759">
        <v>9</v>
      </c>
      <c r="AD19" s="604">
        <v>55</v>
      </c>
      <c r="AE19" s="604">
        <v>11</v>
      </c>
      <c r="AF19" s="591">
        <v>5</v>
      </c>
      <c r="AG19" s="758"/>
      <c r="AH19" s="604"/>
      <c r="AI19" s="604"/>
      <c r="AJ19" s="617"/>
      <c r="AK19" s="772"/>
      <c r="AL19" s="773"/>
      <c r="AM19" s="773"/>
      <c r="AN19" s="774"/>
      <c r="AO19" s="772"/>
      <c r="AP19" s="773"/>
      <c r="AQ19" s="773"/>
      <c r="AR19" s="774"/>
    </row>
    <row r="20" spans="2:44" ht="20.100000000000001" customHeight="1">
      <c r="B20" s="1709" t="s">
        <v>390</v>
      </c>
      <c r="C20" s="1710"/>
      <c r="D20" s="1711" t="str">
        <f>IF(COUNT('먼지측정 사전 Data'!H72)=0,"",'먼지측정 사전 Data'!H75)</f>
        <v/>
      </c>
      <c r="E20" s="1712"/>
      <c r="F20" s="1711" t="str">
        <f>IF(COUNT('먼지측정 사전 Data'!H72)=0,"",'먼지측정 사전 Data'!H88)</f>
        <v/>
      </c>
      <c r="G20" s="1712"/>
      <c r="H20" s="1718">
        <f>'먼지측정 사전 Data'!H71</f>
        <v>0</v>
      </c>
      <c r="I20" s="1719"/>
      <c r="J20" s="1718">
        <f>'먼지측정 사전 Data'!H70</f>
        <v>0</v>
      </c>
      <c r="K20" s="1719"/>
      <c r="L20" s="608">
        <f>'먼지측정 사전 Data'!H69</f>
        <v>0</v>
      </c>
      <c r="M20" s="608" t="str">
        <f>IF(COUNT('먼지측정 사전 Data'!H72)=0,"",'먼지측정 사전 Data'!H72)</f>
        <v/>
      </c>
      <c r="N20" s="608" t="str">
        <f>IF(COUNT('먼지측정 사전 Data'!H72)=0,"",'먼지측정 사전 Data'!H73)</f>
        <v/>
      </c>
      <c r="O20" s="1720" t="str">
        <f>IF(COUNT('먼지측정 사전 Data'!H72)=0,"",'먼지측정 사전 Data'!H85)</f>
        <v/>
      </c>
      <c r="P20" s="1720"/>
      <c r="Q20" s="1721" t="str">
        <f>IF(COUNT('먼지측정 사전 Data'!H72)=0,"",'먼지측정 사전 Data'!H86)</f>
        <v/>
      </c>
      <c r="R20" s="1722"/>
      <c r="S20" s="1713" t="str">
        <f>IF(COUNT('먼지측정 사전 Data'!H72)=0,"",'먼지측정 사전 Data'!H69)</f>
        <v/>
      </c>
      <c r="T20" s="1714"/>
      <c r="U20" s="1713" t="str">
        <f>IF(COUNT('먼지측정 사전 Data'!H72)=0,"",'먼지측정 사전 Data'!H89)</f>
        <v/>
      </c>
      <c r="V20" s="1714"/>
      <c r="W20" s="609" t="str">
        <f>IF(COUNT('먼지측정 사전 Data'!H72)=0,"",IF('먼지측정 사전 Data'!U78=1,'먼지측정 사전 Data'!H79,'먼지측정 사전 Data'!H79*1000))</f>
        <v/>
      </c>
      <c r="X20" s="843" t="str">
        <f>IF(COUNT('먼지측정 사전 Data'!H72)=0,"",IF('먼지측정 사전 Data'!U78=1,(W20-X18),'먼지측정 사전 Data'!H80*1000))</f>
        <v/>
      </c>
      <c r="Y20" s="1809" t="str">
        <f>IF(Y19="","",IF(Y19&lt;10,"0"&amp;Y19,Y19)&amp;" : "&amp;IF(Z19&lt;10,"0"&amp;Z19,Z19)&amp;" ~ "&amp;IF(AA19&lt;10,"0"&amp;AA19,AA19)&amp;" : "&amp;IF(AB19&lt;10,"0"&amp;AB19,AB19))</f>
        <v>09 : 55 ~ 11 : 05</v>
      </c>
      <c r="Z20" s="1342"/>
      <c r="AA20" s="1342"/>
      <c r="AB20" s="1342"/>
      <c r="AC20" s="1365" t="str">
        <f>IF(AC19="","",IF(AC19&lt;10,"0"&amp;AC19,AC19)&amp;" : "&amp;IF(AD19&lt;10,"0"&amp;AD19,AD19)&amp;" ~ "&amp;IF(AE19&lt;10,"0"&amp;AE19,AE19)&amp;" : "&amp;IF(AF19&lt;10,"0"&amp;AF19,AF19))</f>
        <v>09 : 55 ~ 11 : 05</v>
      </c>
      <c r="AD20" s="1342"/>
      <c r="AE20" s="1342"/>
      <c r="AF20" s="1342"/>
      <c r="AG20" s="1365" t="str">
        <f>IF(AG19="","",IF(AG19&lt;10,"0"&amp;AG19,AG19)&amp;" : "&amp;IF(AH19&lt;10,"0"&amp;AH19,AH19)&amp;" ~ "&amp;IF(AI19&lt;10,"0"&amp;AI19,AI19)&amp;" : "&amp;IF(AJ19&lt;10,"0"&amp;AJ19,AJ19))</f>
        <v/>
      </c>
      <c r="AH20" s="1342"/>
      <c r="AI20" s="1342"/>
      <c r="AJ20" s="1342"/>
      <c r="AK20" s="1817" t="str">
        <f t="shared" ref="AK20" si="0">IF(AK19="","",AK19&amp;" : "&amp;IF(AL19&lt;10,"0"&amp;AL19,AL19)&amp;" ~ "&amp;AM19&amp;" : "&amp;IF(AN19&lt;10,"0"&amp;AN19,AN19))</f>
        <v/>
      </c>
      <c r="AL20" s="1818"/>
      <c r="AM20" s="1818"/>
      <c r="AN20" s="1818"/>
      <c r="AO20" s="1817" t="str">
        <f t="shared" ref="AO20" si="1">IF(AO19="","",AO19&amp;" : "&amp;IF(AP19&lt;10,"0"&amp;AP19,AP19)&amp;" ~ "&amp;AQ19&amp;" : "&amp;IF(AR19&lt;10,"0"&amp;AR19,AR19))</f>
        <v/>
      </c>
      <c r="AP20" s="1818"/>
      <c r="AQ20" s="1818"/>
      <c r="AR20" s="1818"/>
    </row>
    <row r="21" spans="2:44" ht="20.100000000000001" customHeight="1">
      <c r="B21" s="1709" t="s">
        <v>391</v>
      </c>
      <c r="C21" s="1710"/>
      <c r="D21" s="1713" t="str">
        <f>IF(COUNT('먼지측정 사전 Data'!J72)=0,"",'먼지측정 사전 Data'!J75)</f>
        <v/>
      </c>
      <c r="E21" s="1714"/>
      <c r="F21" s="1713" t="str">
        <f>IF(COUNT('먼지측정 사전 Data'!J72)=0,"",'먼지측정 사전 Data'!J88)</f>
        <v/>
      </c>
      <c r="G21" s="1714"/>
      <c r="H21" s="1689" t="str">
        <f>IF(COUNT('먼지측정 사전 Data'!J70)=0,"",'먼지측정 사전 Data'!J71)</f>
        <v/>
      </c>
      <c r="I21" s="1690"/>
      <c r="J21" s="1689" t="str">
        <f>IF(COUNT('먼지측정 사전 Data'!J70)=0,"",'먼지측정 사전 Data'!J70)</f>
        <v/>
      </c>
      <c r="K21" s="1690"/>
      <c r="L21" s="611" t="str">
        <f>IF(COUNT('먼지측정 사전 Data'!J70)=0,"",'먼지측정 사전 Data'!J69)</f>
        <v/>
      </c>
      <c r="M21" s="611" t="str">
        <f>IF(COUNT('먼지측정 사전 Data'!J72)=0,"",'먼지측정 사전 Data'!J72)</f>
        <v/>
      </c>
      <c r="N21" s="611" t="str">
        <f>IF(COUNT('먼지측정 사전 Data'!J72)=0,"",'먼지측정 사전 Data'!J73)</f>
        <v/>
      </c>
      <c r="O21" s="1715" t="str">
        <f>IF(COUNT('먼지측정 사전 Data'!J72)=0,"",'먼지측정 사전 Data'!J85)</f>
        <v/>
      </c>
      <c r="P21" s="1715"/>
      <c r="Q21" s="1687" t="str">
        <f>IF(COUNT('먼지측정 사전 Data'!J72)=0,"",'먼지측정 사전 Data'!J86)</f>
        <v/>
      </c>
      <c r="R21" s="1688"/>
      <c r="S21" s="1713" t="str">
        <f>IF(COUNT('먼지측정 사전 Data'!J72)=0,"",'먼지측정 사전 Data'!J69)</f>
        <v/>
      </c>
      <c r="T21" s="1714"/>
      <c r="U21" s="1716" t="str">
        <f>IF(COUNT('먼지측정 사전 Data'!J72)=0,"",'먼지측정 사전 Data'!J89)</f>
        <v/>
      </c>
      <c r="V21" s="1717"/>
      <c r="W21" s="609" t="str">
        <f>IF(COUNT('먼지측정 사전 Data'!J72)=0,"",IF('먼지측정 사전 Data'!U78=1,'먼지측정 사전 Data'!J79,'먼지측정 사전 Data'!J79*1000))</f>
        <v/>
      </c>
      <c r="X21" s="843" t="str">
        <f>IF(COUNT('먼지측정 사전 Data'!J72)=0,"",IF('먼지측정 사전 Data'!U78=1,(W21-W20),'먼지측정 사전 Data'!J80*1000))</f>
        <v/>
      </c>
      <c r="Y21" s="1810" t="s">
        <v>1192</v>
      </c>
      <c r="Z21" s="1807"/>
      <c r="AA21" s="1807"/>
      <c r="AB21" s="1807"/>
      <c r="AC21" s="1812" t="s">
        <v>1189</v>
      </c>
      <c r="AD21" s="1807"/>
      <c r="AE21" s="1807"/>
      <c r="AF21" s="1807"/>
      <c r="AG21" s="1812" t="s">
        <v>1190</v>
      </c>
      <c r="AH21" s="1807"/>
      <c r="AI21" s="1807"/>
      <c r="AJ21" s="1808"/>
    </row>
    <row r="22" spans="2:44" ht="20.100000000000001" customHeight="1">
      <c r="B22" s="1709" t="s">
        <v>392</v>
      </c>
      <c r="C22" s="1710"/>
      <c r="D22" s="1711" t="str">
        <f>IF(COUNT('먼지측정 사전 Data'!L72)=0,"",'먼지측정 사전 Data'!L75)</f>
        <v/>
      </c>
      <c r="E22" s="1712"/>
      <c r="F22" s="1713" t="str">
        <f>IF(COUNT('먼지측정 사전 Data'!L72)=0,"",'먼지측정 사전 Data'!L88)</f>
        <v/>
      </c>
      <c r="G22" s="1714"/>
      <c r="H22" s="1689" t="str">
        <f>IF(COUNT('먼지측정 사전 Data'!L70)=0,"",'먼지측정 사전 Data'!L71)</f>
        <v/>
      </c>
      <c r="I22" s="1690"/>
      <c r="J22" s="1689" t="str">
        <f>IF(COUNT('먼지측정 사전 Data'!L70)=0,"",'먼지측정 사전 Data'!L70)</f>
        <v/>
      </c>
      <c r="K22" s="1690"/>
      <c r="L22" s="611" t="str">
        <f>IF(COUNT('먼지측정 사전 Data'!L70)=0,"",'먼지측정 사전 Data'!L69)</f>
        <v/>
      </c>
      <c r="M22" s="611" t="str">
        <f>IF(COUNT('먼지측정 사전 Data'!L72)=0,"",'먼지측정 사전 Data'!L72)</f>
        <v/>
      </c>
      <c r="N22" s="611" t="str">
        <f>IF(COUNT('먼지측정 사전 Data'!L72)=0,"",'먼지측정 사전 Data'!L73)</f>
        <v/>
      </c>
      <c r="O22" s="1715" t="str">
        <f>IF(COUNT('먼지측정 사전 Data'!L72)=0,"",'먼지측정 사전 Data'!L85)</f>
        <v/>
      </c>
      <c r="P22" s="1715"/>
      <c r="Q22" s="1687" t="str">
        <f>IF(COUNT('먼지측정 사전 Data'!L72)=0,"",'먼지측정 사전 Data'!L86)</f>
        <v/>
      </c>
      <c r="R22" s="1688"/>
      <c r="S22" s="1713" t="str">
        <f>IF(COUNT('먼지측정 사전 Data'!L72)=0,"",'먼지측정 사전 Data'!L69)</f>
        <v/>
      </c>
      <c r="T22" s="1714"/>
      <c r="U22" s="1716" t="str">
        <f>IF(COUNT('먼지측정 사전 Data'!L72)=0,"",'먼지측정 사전 Data'!L89)</f>
        <v/>
      </c>
      <c r="V22" s="1717"/>
      <c r="W22" s="609" t="str">
        <f>IF(COUNT('먼지측정 사전 Data'!L72)=0,"",IF('먼지측정 사전 Data'!U78=1,'먼지측정 사전 Data'!L79,'먼지측정 사전 Data'!L79*1000))</f>
        <v/>
      </c>
      <c r="X22" s="843" t="str">
        <f>IF(COUNT('먼지측정 사전 Data'!L72)=0,"",IF('먼지측정 사전 Data'!U78=1,(W22-W21),'먼지측정 사전 Data'!L80*1000))</f>
        <v/>
      </c>
      <c r="Y22" s="759"/>
      <c r="Z22" s="604"/>
      <c r="AA22" s="604"/>
      <c r="AB22" s="617"/>
      <c r="AC22" s="759">
        <v>9</v>
      </c>
      <c r="AD22" s="604">
        <v>3</v>
      </c>
      <c r="AE22" s="604">
        <v>9</v>
      </c>
      <c r="AF22" s="617">
        <v>33</v>
      </c>
      <c r="AG22" s="758"/>
      <c r="AH22" s="604"/>
      <c r="AI22" s="604"/>
      <c r="AJ22" s="617"/>
    </row>
    <row r="23" spans="2:44" ht="20.100000000000001" customHeight="1" thickBot="1">
      <c r="B23" s="1709" t="s">
        <v>393</v>
      </c>
      <c r="C23" s="1710"/>
      <c r="D23" s="1713" t="str">
        <f>IF(COUNT('먼지측정 사전 Data'!N72)=0,"",'먼지측정 사전 Data'!N75)</f>
        <v/>
      </c>
      <c r="E23" s="1714"/>
      <c r="F23" s="1713" t="str">
        <f>IF(COUNT('먼지측정 사전 Data'!N72)=0,"",'먼지측정 사전 Data'!N88)</f>
        <v/>
      </c>
      <c r="G23" s="1714"/>
      <c r="H23" s="1689" t="str">
        <f>IF(COUNT('먼지측정 사전 Data'!N70)=0,"",'먼지측정 사전 Data'!N71)</f>
        <v/>
      </c>
      <c r="I23" s="1690"/>
      <c r="J23" s="1689" t="str">
        <f>IF(COUNT('먼지측정 사전 Data'!N70)=0,"",'먼지측정 사전 Data'!N70)</f>
        <v/>
      </c>
      <c r="K23" s="1690"/>
      <c r="L23" s="611" t="str">
        <f>IF(COUNT('먼지측정 사전 Data'!N70)=0,"",'먼지측정 사전 Data'!N69)</f>
        <v/>
      </c>
      <c r="M23" s="611" t="str">
        <f>IF(COUNT('먼지측정 사전 Data'!N72)=0,"",'먼지측정 사전 Data'!N72)</f>
        <v/>
      </c>
      <c r="N23" s="611" t="str">
        <f>IF(COUNT('먼지측정 사전 Data'!N72)=0,"",'먼지측정 사전 Data'!N73)</f>
        <v/>
      </c>
      <c r="O23" s="1715" t="str">
        <f>IF(COUNT('먼지측정 사전 Data'!N72)=0,"",'먼지측정 사전 Data'!N85)</f>
        <v/>
      </c>
      <c r="P23" s="1715"/>
      <c r="Q23" s="1687" t="str">
        <f>IF(COUNT('먼지측정 사전 Data'!N72)=0,"",'먼지측정 사전 Data'!N86)</f>
        <v/>
      </c>
      <c r="R23" s="1688"/>
      <c r="S23" s="1713" t="str">
        <f>IF(COUNT('먼지측정 사전 Data'!N72)=0,"",'먼지측정 사전 Data'!N69)</f>
        <v/>
      </c>
      <c r="T23" s="1714"/>
      <c r="U23" s="1713" t="str">
        <f>IF(COUNT('먼지측정 사전 Data'!N72)=0,"",'먼지측정 사전 Data'!N89)</f>
        <v/>
      </c>
      <c r="V23" s="1714"/>
      <c r="W23" s="609" t="str">
        <f>IF(COUNT('먼지측정 사전 Data'!N72)=0,"",IF('먼지측정 사전 Data'!U78=1,'먼지측정 사전 Data'!N79,'먼지측정 사전 Data'!N79*1000))</f>
        <v/>
      </c>
      <c r="X23" s="843" t="str">
        <f>IF(COUNT('먼지측정 사전 Data'!N72)=0,"",IF('먼지측정 사전 Data'!U78=1,(W23-W22),'먼지측정 사전 Data'!N80*1000))</f>
        <v/>
      </c>
      <c r="Y23" s="1822" t="str">
        <f>IF(Y22="","",IF(Y22&lt;10,"0"&amp;Y22,Y22)&amp;" : "&amp;IF(Z22&lt;10,"0"&amp;Z22,Z22)&amp;" ~ "&amp;IF(AA22&lt;10,"0"&amp;AA22,AA22)&amp;" : "&amp;IF(AB22&lt;10,"0"&amp;AB22,AB22))</f>
        <v/>
      </c>
      <c r="Z23" s="1822"/>
      <c r="AA23" s="1822"/>
      <c r="AB23" s="1822"/>
      <c r="AC23" s="1830" t="str">
        <f>IF(AC22="","",IF(AC22&lt;10,"0"&amp;AC22,AC22)&amp;" : "&amp;IF(AD22&lt;10,"0"&amp;AD22,AD22)&amp;" ~ "&amp;IF(AE22&lt;10,"0"&amp;AE22,AE22)&amp;" : "&amp;IF(AF22&lt;10,"0"&amp;AF22,AF22))</f>
        <v>09 : 03 ~ 09 : 33</v>
      </c>
      <c r="AD23" s="1822"/>
      <c r="AE23" s="1822"/>
      <c r="AF23" s="1822"/>
      <c r="AG23" s="1830" t="str">
        <f>IF(AG22="","",IF(AG22&lt;10,"0"&amp;AG22,AG22)&amp;" : "&amp;IF(AH22&lt;10,"0"&amp;AH22,AH22)&amp;" ~ "&amp;IF(AI22&lt;10,"0"&amp;AI22,AI22)&amp;" : "&amp;IF(AJ22&lt;10,"0"&amp;AJ22,AJ22))</f>
        <v/>
      </c>
      <c r="AH23" s="1822"/>
      <c r="AI23" s="1822"/>
      <c r="AJ23" s="1831"/>
    </row>
    <row r="24" spans="2:44" ht="20.100000000000001" customHeight="1">
      <c r="B24" s="1709" t="s">
        <v>394</v>
      </c>
      <c r="C24" s="1710"/>
      <c r="D24" s="1711" t="str">
        <f>IF(COUNT('먼지측정 사전 Data'!P72)=0,"",'먼지측정 사전 Data'!P75)</f>
        <v/>
      </c>
      <c r="E24" s="1712"/>
      <c r="F24" s="1713" t="str">
        <f>IF(COUNT('먼지측정 사전 Data'!P72)=0,"",'먼지측정 사전 Data'!P88)</f>
        <v/>
      </c>
      <c r="G24" s="1714"/>
      <c r="H24" s="1689" t="str">
        <f>IF(COUNT('먼지측정 사전 Data'!P70)=0,"",'먼지측정 사전 Data'!P71)</f>
        <v/>
      </c>
      <c r="I24" s="1690"/>
      <c r="J24" s="1689" t="str">
        <f>IF(COUNT('먼지측정 사전 Data'!P70)=0,"",'먼지측정 사전 Data'!P70)</f>
        <v/>
      </c>
      <c r="K24" s="1690"/>
      <c r="L24" s="611" t="str">
        <f>IF(COUNT('먼지측정 사전 Data'!P70)=0,"",'먼지측정 사전 Data'!P69)</f>
        <v/>
      </c>
      <c r="M24" s="611" t="str">
        <f>IF(COUNT('먼지측정 사전 Data'!P72)=0,"",'먼지측정 사전 Data'!P72)</f>
        <v/>
      </c>
      <c r="N24" s="611" t="str">
        <f>IF(COUNT('먼지측정 사전 Data'!P72)=0,"",'먼지측정 사전 Data'!P73)</f>
        <v/>
      </c>
      <c r="O24" s="1715" t="str">
        <f>IF(COUNT('먼지측정 사전 Data'!P72)=0,"",'먼지측정 사전 Data'!P85)</f>
        <v/>
      </c>
      <c r="P24" s="1715"/>
      <c r="Q24" s="1687" t="str">
        <f>IF(COUNT('먼지측정 사전 Data'!P72)=0,"",'먼지측정 사전 Data'!P86)</f>
        <v/>
      </c>
      <c r="R24" s="1688"/>
      <c r="S24" s="1713" t="str">
        <f>IF(COUNT('먼지측정 사전 Data'!P72)=0,"",'먼지측정 사전 Data'!P69)</f>
        <v/>
      </c>
      <c r="T24" s="1714"/>
      <c r="U24" s="1713" t="str">
        <f>IF(COUNT('먼지측정 사전 Data'!P72)=0,"",'먼지측정 사전 Data'!P89)</f>
        <v/>
      </c>
      <c r="V24" s="1714"/>
      <c r="W24" s="609" t="str">
        <f>IF(COUNT('먼지측정 사전 Data'!P72)=0,"",IF('먼지측정 사전 Data'!U78=1,'먼지측정 사전 Data'!P79,'먼지측정 사전 Data'!P79*1000))</f>
        <v/>
      </c>
      <c r="X24" s="843" t="str">
        <f>IF(COUNT('먼지측정 사전 Data'!P72)=0,"",IF('먼지측정 사전 Data'!U78=1,(W24-W23),'먼지측정 사전 Data'!P80*1000))</f>
        <v/>
      </c>
      <c r="Y24" s="1819" t="s">
        <v>1265</v>
      </c>
      <c r="Z24" s="1819"/>
      <c r="AA24" s="1820" t="s">
        <v>1266</v>
      </c>
      <c r="AB24" s="1820"/>
      <c r="AC24" s="1819" t="s">
        <v>1267</v>
      </c>
      <c r="AD24" s="1819"/>
      <c r="AE24" s="1819" t="s">
        <v>1268</v>
      </c>
      <c r="AF24" s="1819"/>
      <c r="AG24" s="1819" t="s">
        <v>1269</v>
      </c>
      <c r="AH24" s="1819"/>
      <c r="AI24" s="1821"/>
      <c r="AJ24" s="1821"/>
    </row>
    <row r="25" spans="2:44" ht="20.100000000000001" customHeight="1">
      <c r="B25" s="1671" t="s">
        <v>395</v>
      </c>
      <c r="C25" s="1672"/>
      <c r="D25" s="1699" t="str">
        <f>IF(COUNT('먼지측정 사전 Data'!H72)=0,"",SUM(D20:E24))</f>
        <v/>
      </c>
      <c r="E25" s="1700"/>
      <c r="F25" s="1701"/>
      <c r="G25" s="1702"/>
      <c r="H25" s="1703"/>
      <c r="I25" s="1704"/>
      <c r="J25" s="1703"/>
      <c r="K25" s="1704"/>
      <c r="L25" s="632"/>
      <c r="M25" s="632"/>
      <c r="N25" s="632"/>
      <c r="O25" s="1705"/>
      <c r="P25" s="1705"/>
      <c r="Q25" s="1706"/>
      <c r="R25" s="1707"/>
      <c r="S25" s="1708"/>
      <c r="T25" s="1702"/>
      <c r="U25" s="1708"/>
      <c r="V25" s="1702"/>
      <c r="W25" s="842"/>
      <c r="X25" s="633" t="str">
        <f>IF(COUNT('먼지측정 사전 Data'!H72)=0,"",SUM(X20:X24))</f>
        <v/>
      </c>
      <c r="Y25" s="1342">
        <f>IF(Y19="","",(AA19*60+AB19)-(Y19*60+Z19))</f>
        <v>70</v>
      </c>
      <c r="Z25" s="1342"/>
      <c r="AA25" s="1342">
        <f>IF(AC19="","",(AE19*60+AF19)-(AC19*60+AD19))</f>
        <v>70</v>
      </c>
      <c r="AB25" s="1342"/>
      <c r="AC25" s="1342" t="str">
        <f>IF(AG19="","",(AI19*60+AJ19)-(AG19*60+AH19))</f>
        <v/>
      </c>
      <c r="AD25" s="1342"/>
      <c r="AE25" s="1342" t="str">
        <f>IF(Y22="","",(AA22*60+AB22)-(Y22*60+Z22))</f>
        <v/>
      </c>
      <c r="AF25" s="1342"/>
      <c r="AG25" s="1342">
        <f>IF(AC22="","",(AE22*60+AF22)-(AC22*60+AD22))</f>
        <v>30</v>
      </c>
      <c r="AH25" s="1342"/>
    </row>
    <row r="26" spans="2:44" ht="20.100000000000001" customHeight="1">
      <c r="B26" s="1671" t="s">
        <v>414</v>
      </c>
      <c r="C26" s="1672"/>
      <c r="D26" s="1691"/>
      <c r="E26" s="1692"/>
      <c r="F26" s="1689" t="str">
        <f>IF(COUNT('먼지측정 사전 Data'!H72)=0,"",AVERAGE(F20:G24))</f>
        <v/>
      </c>
      <c r="G26" s="1690"/>
      <c r="H26" s="1689">
        <f>AVERAGE(H20:I24)</f>
        <v>0</v>
      </c>
      <c r="I26" s="1690"/>
      <c r="J26" s="1689">
        <f>AVERAGE(J20:K24)</f>
        <v>0</v>
      </c>
      <c r="K26" s="1690"/>
      <c r="L26" s="615">
        <f>AVERAGE(L20:L24)</f>
        <v>0</v>
      </c>
      <c r="M26" s="1689" t="str">
        <f>IF(COUNT('먼지측정 사전 Data'!H72)=0,"",AVERAGE(M20:N24))</f>
        <v/>
      </c>
      <c r="N26" s="1690"/>
      <c r="O26" s="1687" t="str">
        <f>IF(COUNT('먼지측정 사전 Data'!H72)=0,"",AVERAGE(O20:P24))</f>
        <v/>
      </c>
      <c r="P26" s="1688"/>
      <c r="Q26" s="1687" t="str">
        <f>IF(COUNT('먼지측정 사전 Data'!H72)=0,"",AVERAGE(Q20:R24))</f>
        <v/>
      </c>
      <c r="R26" s="1688"/>
      <c r="S26" s="1689" t="str">
        <f>IF(COUNT('먼지측정 사전 Data'!H72)=0,"",AVERAGE(S20:T24))</f>
        <v/>
      </c>
      <c r="T26" s="1690"/>
      <c r="U26" s="1689" t="str">
        <f>IF(COUNT('먼지측정 사전 Data'!H72)=0,"",AVERAGE(U20:V24))</f>
        <v/>
      </c>
      <c r="V26" s="1690"/>
      <c r="W26" s="1691"/>
      <c r="X26" s="1692"/>
      <c r="Y26" s="916" t="s">
        <v>1270</v>
      </c>
      <c r="Z26" s="917"/>
      <c r="AA26" s="917"/>
      <c r="AB26" s="918"/>
      <c r="AC26" s="574"/>
      <c r="AD26" s="574"/>
      <c r="AE26" s="574"/>
      <c r="AF26" s="574"/>
      <c r="AG26" s="574"/>
    </row>
    <row r="27" spans="2:44" ht="17.100000000000001" customHeight="1">
      <c r="B27" s="1681" t="s">
        <v>614</v>
      </c>
      <c r="C27" s="1682"/>
      <c r="D27" s="1693"/>
      <c r="E27" s="1683" t="s">
        <v>396</v>
      </c>
      <c r="F27" s="1683"/>
      <c r="G27" s="1683"/>
      <c r="H27" s="1694" t="e">
        <f>'먼지측정 사전 Data'!H59</f>
        <v>#DIV/0!</v>
      </c>
      <c r="I27" s="1694"/>
      <c r="J27" s="1695"/>
      <c r="K27" s="1671" t="s">
        <v>397</v>
      </c>
      <c r="L27" s="1683"/>
      <c r="M27" s="1683"/>
      <c r="N27" s="1683"/>
      <c r="O27" s="1696" t="str">
        <f>IF('먼지측정 사전 Data'!Q60=0,"",L26)</f>
        <v/>
      </c>
      <c r="P27" s="1696"/>
      <c r="Q27" s="1696"/>
      <c r="R27" s="1697"/>
      <c r="S27" s="1671" t="s">
        <v>415</v>
      </c>
      <c r="T27" s="1683"/>
      <c r="U27" s="1683"/>
      <c r="V27" s="1672"/>
      <c r="W27" s="1698" t="str">
        <f>IF('먼지측정 사전 Data'!Q60=0,"",'포화수증기압 표 '!E4)</f>
        <v/>
      </c>
      <c r="X27" s="1698"/>
      <c r="Y27" s="921" t="e">
        <f>'먼지측정 사전 Data'!R80*1000/'먼지측정 사전 Data'!R75</f>
        <v>#DIV/0!</v>
      </c>
      <c r="Z27" s="919"/>
      <c r="AA27" s="919" t="s">
        <v>546</v>
      </c>
      <c r="AB27" s="920"/>
      <c r="AC27" s="574"/>
      <c r="AD27" s="574"/>
      <c r="AE27" s="574"/>
      <c r="AF27" s="574"/>
      <c r="AG27" s="574"/>
    </row>
    <row r="28" spans="2:44" ht="22.5" customHeight="1">
      <c r="B28" s="1668" t="s">
        <v>1127</v>
      </c>
      <c r="C28" s="1668"/>
      <c r="D28" s="1668"/>
      <c r="E28" s="1668" t="s">
        <v>1128</v>
      </c>
      <c r="F28" s="1668"/>
      <c r="G28" s="1668"/>
      <c r="H28" s="1669" t="s">
        <v>401</v>
      </c>
      <c r="I28" s="1669"/>
      <c r="J28" s="1669"/>
      <c r="K28" s="1669"/>
      <c r="L28" s="1669" t="s">
        <v>1129</v>
      </c>
      <c r="M28" s="1669"/>
      <c r="N28" s="1669"/>
      <c r="O28" s="1669"/>
      <c r="P28" s="1671" t="s">
        <v>416</v>
      </c>
      <c r="Q28" s="1683"/>
      <c r="R28" s="1683"/>
      <c r="S28" s="1683"/>
      <c r="T28" s="1683"/>
      <c r="U28" s="1683" t="e">
        <f>IF('먼지측정 사전 Data'!Q60=1,"",V30/B30)</f>
        <v>#DIV/0!</v>
      </c>
      <c r="V28" s="1683"/>
      <c r="W28" s="1683"/>
      <c r="X28" s="634" t="s">
        <v>405</v>
      </c>
      <c r="Y28" s="574"/>
      <c r="Z28" s="574"/>
      <c r="AA28" s="574"/>
      <c r="AB28" s="574"/>
      <c r="AC28" s="574"/>
      <c r="AD28" s="574"/>
      <c r="AE28" s="574"/>
      <c r="AF28" s="574"/>
      <c r="AG28" s="574"/>
    </row>
    <row r="29" spans="2:44" ht="22.5" customHeight="1">
      <c r="B29" s="1668"/>
      <c r="C29" s="1668"/>
      <c r="D29" s="1668"/>
      <c r="E29" s="1668"/>
      <c r="F29" s="1668"/>
      <c r="G29" s="1668"/>
      <c r="H29" s="1668" t="s">
        <v>1130</v>
      </c>
      <c r="I29" s="1668"/>
      <c r="J29" s="1668" t="s">
        <v>1131</v>
      </c>
      <c r="K29" s="1668"/>
      <c r="L29" s="1668" t="s">
        <v>402</v>
      </c>
      <c r="M29" s="1669"/>
      <c r="N29" s="1668" t="s">
        <v>403</v>
      </c>
      <c r="O29" s="1669"/>
      <c r="P29" s="1671" t="s">
        <v>386</v>
      </c>
      <c r="Q29" s="1683"/>
      <c r="R29" s="1672"/>
      <c r="S29" s="1671" t="s">
        <v>387</v>
      </c>
      <c r="T29" s="1683"/>
      <c r="U29" s="1672"/>
      <c r="V29" s="1671" t="s">
        <v>388</v>
      </c>
      <c r="W29" s="1683"/>
      <c r="X29" s="1672"/>
      <c r="Y29" s="574"/>
      <c r="Z29" s="574"/>
      <c r="AA29" s="574"/>
      <c r="AB29" s="574"/>
      <c r="AC29" s="574"/>
      <c r="AD29" s="574"/>
      <c r="AE29" s="574"/>
      <c r="AF29" s="574"/>
      <c r="AG29" s="574"/>
    </row>
    <row r="30" spans="2:44" ht="20.100000000000001" customHeight="1">
      <c r="B30" s="1684">
        <f>IF('먼지측정 사전 Data'!Q60=1,"",'먼지측정 사전 Data'!H54)</f>
        <v>0</v>
      </c>
      <c r="C30" s="1684"/>
      <c r="D30" s="1684"/>
      <c r="E30" s="1685">
        <f>IF('먼지측정 사전 Data'!Q60=1,"",'먼지측정 사전 Data'!O55)</f>
        <v>0.87</v>
      </c>
      <c r="F30" s="1685"/>
      <c r="G30" s="1685"/>
      <c r="H30" s="1650">
        <f>IF('먼지측정 사전 Data'!Q60=1,"",'먼지측정 사전 Data'!H51)</f>
        <v>0</v>
      </c>
      <c r="I30" s="1650"/>
      <c r="J30" s="1650">
        <f>IF('먼지측정 사전 Data'!Q60=1,"",'먼지측정 사전 Data'!H52)</f>
        <v>0</v>
      </c>
      <c r="K30" s="1650"/>
      <c r="L30" s="1685">
        <f>IF('먼지측정 사전 Data'!Q60=1,"",'먼지측정 사전 Data'!H48)</f>
        <v>0</v>
      </c>
      <c r="M30" s="1685"/>
      <c r="N30" s="1685">
        <f>IF('먼지측정 사전 Data'!Q60=1,"",'먼지측정 사전 Data'!H49)</f>
        <v>0</v>
      </c>
      <c r="O30" s="1685"/>
      <c r="P30" s="1684">
        <f>IF('먼지측정 사전 Data'!Q60=1,"",'먼지측정 사전 Data'!H56)</f>
        <v>0</v>
      </c>
      <c r="Q30" s="1684"/>
      <c r="R30" s="1684"/>
      <c r="S30" s="1684">
        <f>IF('먼지측정 사전 Data'!Q60=1,"",'먼지측정 사전 Data'!H57)</f>
        <v>0</v>
      </c>
      <c r="T30" s="1684"/>
      <c r="U30" s="1684"/>
      <c r="V30" s="1686">
        <f>IF('먼지측정 사전 Data'!Q60=1,"",'먼지측정 사전 Data'!H58)</f>
        <v>0</v>
      </c>
      <c r="W30" s="1686"/>
      <c r="X30" s="1686"/>
      <c r="Y30" s="574"/>
      <c r="Z30" s="574"/>
      <c r="AA30" s="574"/>
      <c r="AB30" s="574"/>
      <c r="AC30" s="574"/>
      <c r="AD30" s="574"/>
      <c r="AE30" s="574"/>
      <c r="AF30" s="574"/>
      <c r="AG30" s="574"/>
    </row>
    <row r="31" spans="2:44" ht="17.100000000000001" customHeight="1" thickBot="1">
      <c r="B31" s="1681" t="s">
        <v>406</v>
      </c>
      <c r="C31" s="1682"/>
      <c r="D31" s="1682"/>
      <c r="E31" s="1682"/>
      <c r="F31" s="1682"/>
      <c r="G31" s="1682"/>
      <c r="H31" s="786" t="s">
        <v>1179</v>
      </c>
      <c r="I31" s="787"/>
      <c r="J31" s="787"/>
      <c r="K31" s="787"/>
      <c r="L31" s="498" t="str">
        <f>IF(Y23="","",Y23)</f>
        <v/>
      </c>
      <c r="M31" s="787"/>
      <c r="N31" s="787"/>
      <c r="O31" s="787" t="s">
        <v>138</v>
      </c>
      <c r="P31" s="498"/>
      <c r="Q31" s="498"/>
      <c r="R31" s="29"/>
      <c r="S31" s="498" t="s">
        <v>1189</v>
      </c>
      <c r="T31" s="787"/>
      <c r="U31" s="787"/>
      <c r="V31" s="498" t="str">
        <f>IF(AC23="","(     :     ~     :     )","( "&amp;AC23&amp;" )")</f>
        <v>( 09 : 03 ~ 09 : 33 )</v>
      </c>
      <c r="W31" s="787"/>
      <c r="X31" s="788"/>
      <c r="Y31" s="574"/>
      <c r="Z31" s="574"/>
      <c r="AA31" s="574"/>
      <c r="AB31" s="574"/>
      <c r="AC31" s="574"/>
      <c r="AD31" s="574"/>
      <c r="AE31" s="574"/>
      <c r="AF31" s="574"/>
      <c r="AG31" s="574"/>
    </row>
    <row r="32" spans="2:44" ht="23.1" customHeight="1">
      <c r="B32" s="1669" t="s">
        <v>188</v>
      </c>
      <c r="C32" s="1669"/>
      <c r="D32" s="1669"/>
      <c r="E32" s="1665" t="s">
        <v>482</v>
      </c>
      <c r="F32" s="1677"/>
      <c r="G32" s="1677"/>
      <c r="H32" s="1666"/>
      <c r="I32" s="1673" t="s">
        <v>1127</v>
      </c>
      <c r="J32" s="1675" t="s">
        <v>1128</v>
      </c>
      <c r="K32" s="1671" t="s">
        <v>401</v>
      </c>
      <c r="L32" s="1672"/>
      <c r="M32" s="1669" t="s">
        <v>407</v>
      </c>
      <c r="N32" s="1669"/>
      <c r="O32" s="1668" t="s">
        <v>408</v>
      </c>
      <c r="P32" s="1668"/>
      <c r="Q32" s="1668" t="s">
        <v>1132</v>
      </c>
      <c r="R32" s="1668"/>
      <c r="S32" s="1668"/>
      <c r="T32" s="1668"/>
      <c r="U32" s="1668" t="s">
        <v>465</v>
      </c>
      <c r="V32" s="1669"/>
      <c r="W32" s="1665" t="s">
        <v>189</v>
      </c>
      <c r="X32" s="1666"/>
      <c r="Y32" s="1805" t="s">
        <v>1173</v>
      </c>
      <c r="Z32" s="1805"/>
      <c r="AA32" s="1805"/>
      <c r="AB32" s="1806"/>
      <c r="AC32" s="574"/>
      <c r="AD32" s="574"/>
      <c r="AE32" s="574"/>
      <c r="AF32" s="574"/>
      <c r="AG32" s="574"/>
    </row>
    <row r="33" spans="1:43" ht="23.1" customHeight="1">
      <c r="B33" s="1669"/>
      <c r="C33" s="1669"/>
      <c r="D33" s="1669"/>
      <c r="E33" s="1678"/>
      <c r="F33" s="1679"/>
      <c r="G33" s="1679"/>
      <c r="H33" s="1680"/>
      <c r="I33" s="1674"/>
      <c r="J33" s="1676"/>
      <c r="K33" s="651" t="s">
        <v>1130</v>
      </c>
      <c r="L33" s="651" t="s">
        <v>1131</v>
      </c>
      <c r="M33" s="1669"/>
      <c r="N33" s="1669"/>
      <c r="O33" s="1668"/>
      <c r="P33" s="1668"/>
      <c r="Q33" s="1670" t="s">
        <v>409</v>
      </c>
      <c r="R33" s="1670"/>
      <c r="S33" s="1668" t="s">
        <v>411</v>
      </c>
      <c r="T33" s="1668"/>
      <c r="U33" s="1669"/>
      <c r="V33" s="1669"/>
      <c r="W33" s="1663" t="str">
        <f>IF(AG23="","(   :    ~    :   )","("&amp;AG23&amp;")")</f>
        <v>(   :    ~    :   )</v>
      </c>
      <c r="X33" s="1664"/>
      <c r="Y33" s="1807"/>
      <c r="Z33" s="1807"/>
      <c r="AA33" s="1807"/>
      <c r="AB33" s="1808"/>
      <c r="AC33" s="908" t="s">
        <v>1264</v>
      </c>
      <c r="AD33" s="574"/>
      <c r="AE33" s="574"/>
      <c r="AF33" s="574"/>
      <c r="AG33" s="574"/>
      <c r="AH33" s="836" t="s">
        <v>1207</v>
      </c>
      <c r="AL33" s="616"/>
      <c r="AN33" s="836"/>
      <c r="AQ33" s="835" t="s">
        <v>1204</v>
      </c>
    </row>
    <row r="34" spans="1:43" ht="20.100000000000001" customHeight="1">
      <c r="A34" s="618" t="str">
        <f>IF(B34="","",
   IF(ISNUMBER(SEARCH("현대자동차",'대기측정 분석결과서'!$E$4)),
      IF(B34=$AN$38,$AQ$38,
      IF(B34=$AN$39,$AQ$39,
      IF(B34=$AN$40,$AQ$40,
      IF(B34=$AN$41,$AQ$41,
      IF(B34=$AN$42,$AQ$42,
      B34))))),
   B34)
)</f>
        <v/>
      </c>
      <c r="B34" s="1647"/>
      <c r="C34" s="1648"/>
      <c r="D34" s="1649"/>
      <c r="E34" s="1653" t="str">
        <f>IF(Y34="","",IF(Y34&lt;10,"0"&amp;Y34,Y34)&amp;" : "&amp;IF(Z34&lt;10,"0"&amp;Z34,Z34)&amp;" ~ "&amp;IF(AA34&lt;10,"0"&amp;AA34,AA34)&amp;" : "&amp;IF(AB34&lt;10,"0"&amp;AB34,AB34))</f>
        <v/>
      </c>
      <c r="F34" s="1654"/>
      <c r="G34" s="1654"/>
      <c r="H34" s="1655"/>
      <c r="I34" s="856" t="str">
        <f>IF(B34="","",IFERROR(VLOOKUP(B34,$AH$34:$AL$47,3,FALSE),""))</f>
        <v/>
      </c>
      <c r="J34" s="858"/>
      <c r="K34" s="611"/>
      <c r="L34" s="861" t="str">
        <f>IF(K34="","",K34)</f>
        <v/>
      </c>
      <c r="M34" s="1641"/>
      <c r="N34" s="1641"/>
      <c r="O34" s="1641"/>
      <c r="P34" s="1641"/>
      <c r="Q34" s="1667"/>
      <c r="R34" s="1641"/>
      <c r="S34" s="1667"/>
      <c r="T34" s="1641"/>
      <c r="U34" s="1642" t="str">
        <f>IF(B34="VOCs-T",1,IF(B34="VOCs-A",1,IF(B34="VOCs",5,IF(M34="","",O34-M34))))</f>
        <v/>
      </c>
      <c r="V34" s="1642"/>
      <c r="W34" s="841">
        <v>0</v>
      </c>
      <c r="X34" s="841"/>
      <c r="Y34" s="909"/>
      <c r="Z34" s="760"/>
      <c r="AA34" s="760"/>
      <c r="AB34" s="911"/>
      <c r="AC34" s="914" t="str">
        <f>IF(Y34="","",(AA34*60+AB34)-(Y34*60+Z34))</f>
        <v/>
      </c>
      <c r="AD34" s="574"/>
      <c r="AE34" s="574"/>
      <c r="AF34" s="574"/>
      <c r="AG34" s="574"/>
      <c r="AH34" s="839" t="s">
        <v>742</v>
      </c>
      <c r="AI34" s="29"/>
      <c r="AJ34" s="626">
        <v>2</v>
      </c>
      <c r="AK34" s="29"/>
      <c r="AL34" s="77">
        <v>20</v>
      </c>
      <c r="AN34" s="837" t="s">
        <v>742</v>
      </c>
      <c r="AQ34" s="853" t="s">
        <v>742</v>
      </c>
    </row>
    <row r="35" spans="1:43" ht="20.100000000000001" customHeight="1">
      <c r="A35" s="618" t="str">
        <f>IF(B35="","",
   IF(ISNUMBER(SEARCH("현대자동차",'대기측정 분석결과서'!$E$4)),
      IF(B35=$AN$38,$AQ$38,
      IF(B35=$AN$39,$AQ$39,
      IF(B35=$AN$40,$AQ$40,
      IF(B35=$AN$41,$AQ$41,
      IF(B35=$AN$42,$AQ$42,
      B35))))),
   B35)
)</f>
        <v/>
      </c>
      <c r="B35" s="1647"/>
      <c r="C35" s="1648"/>
      <c r="D35" s="1649"/>
      <c r="E35" s="1653" t="str">
        <f t="shared" ref="E35:E43" si="2">IF(Y35="","",IF(Y35&lt;10,"0"&amp;Y35,Y35)&amp;" : "&amp;IF(Z35&lt;10,"0"&amp;Z35,Z35)&amp;" ~ "&amp;IF(AA35&lt;10,"0"&amp;AA35,AA35)&amp;" : "&amp;IF(AB35&lt;10,"0"&amp;AB35,AB35))</f>
        <v/>
      </c>
      <c r="F35" s="1654"/>
      <c r="G35" s="1654"/>
      <c r="H35" s="1655"/>
      <c r="I35" s="856" t="str">
        <f>IF(B35="","",IFERROR(VLOOKUP(B35,$AH$34:$AL$47,3,FALSE),""))</f>
        <v/>
      </c>
      <c r="J35" s="858"/>
      <c r="K35" s="611"/>
      <c r="L35" s="861" t="str">
        <f t="shared" ref="L35:L44" si="3">IF(K35="","",K35)</f>
        <v/>
      </c>
      <c r="M35" s="1641"/>
      <c r="N35" s="1641"/>
      <c r="O35" s="1641"/>
      <c r="P35" s="1641"/>
      <c r="Q35" s="1641"/>
      <c r="R35" s="1641"/>
      <c r="S35" s="1641" t="str">
        <f t="shared" ref="S35:S44" si="4">IF($B35="이황화메틸","테들러백",IF($B35="VOCs","DNPH",""))</f>
        <v/>
      </c>
      <c r="T35" s="1641"/>
      <c r="U35" s="1642" t="str">
        <f t="shared" ref="U35:U43" si="5">IF(B35="VOCs-T",1,IF(B35="VOCs-A",1,IF(B35="VOCs",5,IF(M35="","",O35-M35))))</f>
        <v/>
      </c>
      <c r="V35" s="1642"/>
      <c r="W35" s="841">
        <v>1</v>
      </c>
      <c r="X35" s="635"/>
      <c r="Y35" s="910"/>
      <c r="Z35" s="761"/>
      <c r="AA35" s="761"/>
      <c r="AB35" s="912"/>
      <c r="AC35" s="914" t="str">
        <f t="shared" ref="AC35:AC44" si="6">IF(Y35="","",(AA35*60+AB35)-(Y35*60+Z35))</f>
        <v/>
      </c>
      <c r="AD35" s="574"/>
      <c r="AE35" s="574"/>
      <c r="AF35" s="574"/>
      <c r="AG35" s="574"/>
      <c r="AH35" s="839" t="s">
        <v>743</v>
      </c>
      <c r="AI35" s="29"/>
      <c r="AJ35" s="626">
        <v>1</v>
      </c>
      <c r="AK35" s="29"/>
      <c r="AL35" s="77">
        <v>40</v>
      </c>
      <c r="AN35" s="837" t="s">
        <v>743</v>
      </c>
      <c r="AQ35" s="853" t="s">
        <v>743</v>
      </c>
    </row>
    <row r="36" spans="1:43" ht="20.100000000000001" customHeight="1">
      <c r="A36" s="618" t="str">
        <f>IF(B36="","",
   IF(ISNUMBER(SEARCH("현대자동차",'대기측정 분석결과서'!$E$4)),
      IF(B36=$AN$38,$AQ$38,
      IF(B36=$AN$39,$AQ$39,
      IF(B36=$AN$40,$AQ$40,
      IF(B36=$AN$41,$AQ$41,
      IF(B36=$AN$42,$AQ$42,
      B36))))),
   B36)
)</f>
        <v/>
      </c>
      <c r="B36" s="1647"/>
      <c r="C36" s="1648"/>
      <c r="D36" s="1649"/>
      <c r="E36" s="1653" t="str">
        <f t="shared" si="2"/>
        <v/>
      </c>
      <c r="F36" s="1654"/>
      <c r="G36" s="1654"/>
      <c r="H36" s="1655"/>
      <c r="I36" s="856" t="str">
        <f t="shared" ref="I36:I44" si="7">IF(B36="","",IFERROR(VLOOKUP(B36,$AH$34:$AL$47,3,FALSE),""))</f>
        <v/>
      </c>
      <c r="J36" s="858"/>
      <c r="K36" s="611"/>
      <c r="L36" s="861" t="str">
        <f t="shared" si="3"/>
        <v/>
      </c>
      <c r="M36" s="1641"/>
      <c r="N36" s="1641"/>
      <c r="O36" s="1641"/>
      <c r="P36" s="1641"/>
      <c r="Q36" s="1641"/>
      <c r="R36" s="1641"/>
      <c r="S36" s="1641" t="str">
        <f t="shared" si="4"/>
        <v/>
      </c>
      <c r="T36" s="1641"/>
      <c r="U36" s="1642" t="str">
        <f t="shared" si="5"/>
        <v/>
      </c>
      <c r="V36" s="1642"/>
      <c r="W36" s="841">
        <v>2</v>
      </c>
      <c r="X36" s="635"/>
      <c r="Y36" s="910"/>
      <c r="Z36" s="761"/>
      <c r="AA36" s="761"/>
      <c r="AB36" s="912"/>
      <c r="AC36" s="914" t="str">
        <f t="shared" si="6"/>
        <v/>
      </c>
      <c r="AD36" s="574"/>
      <c r="AE36" s="574"/>
      <c r="AF36" s="574"/>
      <c r="AG36" s="574"/>
      <c r="AH36" s="839" t="s">
        <v>744</v>
      </c>
      <c r="AI36" s="29"/>
      <c r="AJ36" s="626">
        <v>0.1</v>
      </c>
      <c r="AK36" s="29"/>
      <c r="AL36" s="77">
        <v>10</v>
      </c>
      <c r="AN36" s="837" t="s">
        <v>744</v>
      </c>
      <c r="AQ36" s="853" t="s">
        <v>744</v>
      </c>
    </row>
    <row r="37" spans="1:43" ht="20.100000000000001" customHeight="1">
      <c r="A37" s="618" t="str">
        <f>IF(B37="","",
   IF(ISNUMBER(SEARCH("현대자동차",'대기측정 분석결과서'!$E$4)),
      IF(B37=$AN$38,$AQ$38,
      IF(B37=$AN$39,$AQ$39,
      IF(B37=$AN$40,$AQ$40,
      IF(B37=$AN$41,$AQ$41,
      IF(B37=$AN$42,$AQ$42,
      B37))))),
   B37)
)</f>
        <v/>
      </c>
      <c r="B37" s="1647"/>
      <c r="C37" s="1648"/>
      <c r="D37" s="1649"/>
      <c r="E37" s="1653" t="str">
        <f t="shared" si="2"/>
        <v/>
      </c>
      <c r="F37" s="1654"/>
      <c r="G37" s="1654"/>
      <c r="H37" s="1655"/>
      <c r="I37" s="856" t="str">
        <f t="shared" si="7"/>
        <v/>
      </c>
      <c r="J37" s="858"/>
      <c r="K37" s="611"/>
      <c r="L37" s="861" t="str">
        <f t="shared" si="3"/>
        <v/>
      </c>
      <c r="M37" s="1661"/>
      <c r="N37" s="1661"/>
      <c r="O37" s="1661"/>
      <c r="P37" s="1661"/>
      <c r="Q37" s="1641"/>
      <c r="R37" s="1641"/>
      <c r="S37" s="1641" t="str">
        <f t="shared" si="4"/>
        <v/>
      </c>
      <c r="T37" s="1641"/>
      <c r="U37" s="1642" t="str">
        <f t="shared" si="5"/>
        <v/>
      </c>
      <c r="V37" s="1642"/>
      <c r="W37" s="841">
        <v>3</v>
      </c>
      <c r="X37" s="635"/>
      <c r="Y37" s="910"/>
      <c r="Z37" s="761"/>
      <c r="AA37" s="761"/>
      <c r="AB37" s="912"/>
      <c r="AC37" s="914" t="str">
        <f t="shared" si="6"/>
        <v/>
      </c>
      <c r="AD37" s="574"/>
      <c r="AE37" s="574"/>
      <c r="AF37" s="574"/>
      <c r="AG37" s="574"/>
      <c r="AH37" s="839" t="s">
        <v>745</v>
      </c>
      <c r="AI37" s="29"/>
      <c r="AJ37" s="626">
        <v>1</v>
      </c>
      <c r="AK37" s="29"/>
      <c r="AL37" s="77">
        <v>20</v>
      </c>
      <c r="AN37" s="837" t="s">
        <v>745</v>
      </c>
      <c r="AQ37" s="853" t="s">
        <v>745</v>
      </c>
    </row>
    <row r="38" spans="1:43" ht="20.100000000000001" customHeight="1">
      <c r="A38" s="618" t="str">
        <f>IF(B38="","",
   IF(ISNUMBER(SEARCH("현대자동차",'대기측정 분석결과서'!$E$4)),
      IF(B38=$AN$38,$AQ$38,
      IF(B38=$AN$39,$AQ$39,
      IF(B38=$AN$40,$AQ$40,
      IF(B38=$AN$41,$AQ$41,
      IF(B38=$AN$42,$AQ$42,
      B38))))),
   B38)
)</f>
        <v/>
      </c>
      <c r="B38" s="1647"/>
      <c r="C38" s="1648"/>
      <c r="D38" s="1649"/>
      <c r="E38" s="1653" t="str">
        <f t="shared" si="2"/>
        <v/>
      </c>
      <c r="F38" s="1654"/>
      <c r="G38" s="1654"/>
      <c r="H38" s="1655"/>
      <c r="I38" s="856" t="str">
        <f t="shared" si="7"/>
        <v/>
      </c>
      <c r="J38" s="858"/>
      <c r="K38" s="611"/>
      <c r="L38" s="861" t="str">
        <f t="shared" si="3"/>
        <v/>
      </c>
      <c r="M38" s="1661"/>
      <c r="N38" s="1661"/>
      <c r="O38" s="1661"/>
      <c r="P38" s="1661"/>
      <c r="Q38" s="1662"/>
      <c r="R38" s="1650"/>
      <c r="S38" s="1641" t="str">
        <f t="shared" si="4"/>
        <v/>
      </c>
      <c r="T38" s="1641"/>
      <c r="U38" s="1660" t="str">
        <f t="shared" si="5"/>
        <v/>
      </c>
      <c r="V38" s="1660"/>
      <c r="W38" s="841">
        <v>4</v>
      </c>
      <c r="X38" s="635"/>
      <c r="Y38" s="910"/>
      <c r="Z38" s="761"/>
      <c r="AA38" s="761"/>
      <c r="AB38" s="912"/>
      <c r="AC38" s="914" t="str">
        <f t="shared" si="6"/>
        <v/>
      </c>
      <c r="AD38" s="574"/>
      <c r="AE38" s="574"/>
      <c r="AF38" s="574"/>
      <c r="AG38" s="574"/>
      <c r="AH38" s="839" t="s">
        <v>746</v>
      </c>
      <c r="AI38" s="29"/>
      <c r="AJ38" s="626">
        <v>1</v>
      </c>
      <c r="AK38" s="29"/>
      <c r="AL38" s="77">
        <v>80</v>
      </c>
      <c r="AN38" s="837" t="s">
        <v>746</v>
      </c>
      <c r="AQ38" s="852" t="s">
        <v>1213</v>
      </c>
    </row>
    <row r="39" spans="1:43" ht="20.100000000000001" customHeight="1">
      <c r="A39" s="618" t="str">
        <f>IF(B39="","",
   IF(ISNUMBER(SEARCH("현대자동차",'대기측정 분석결과서'!$E$4)),
      IF(B39=$AN$38,$AQ$38,
      IF(B39=$AN$39,$AQ$39,
      IF(B39=$AN$40,$AQ$40,
      IF(B39=$AN$41,$AQ$41,
      IF(B39=$AN$42,$AQ$42,
      B39))))),
   B39)
)</f>
        <v/>
      </c>
      <c r="B39" s="1647"/>
      <c r="C39" s="1648"/>
      <c r="D39" s="1649"/>
      <c r="E39" s="1653" t="str">
        <f t="shared" si="2"/>
        <v/>
      </c>
      <c r="F39" s="1654"/>
      <c r="G39" s="1654"/>
      <c r="H39" s="1655"/>
      <c r="I39" s="856"/>
      <c r="J39" s="858"/>
      <c r="K39" s="611"/>
      <c r="L39" s="861" t="str">
        <f t="shared" si="3"/>
        <v/>
      </c>
      <c r="M39" s="1661"/>
      <c r="N39" s="1661"/>
      <c r="O39" s="1661"/>
      <c r="P39" s="1661"/>
      <c r="Q39" s="1650"/>
      <c r="R39" s="1650"/>
      <c r="S39" s="1641" t="str">
        <f t="shared" si="4"/>
        <v/>
      </c>
      <c r="T39" s="1641"/>
      <c r="U39" s="1642" t="str">
        <f t="shared" si="5"/>
        <v/>
      </c>
      <c r="V39" s="1642"/>
      <c r="W39" s="841">
        <v>5</v>
      </c>
      <c r="X39" s="635"/>
      <c r="Y39" s="910"/>
      <c r="Z39" s="761"/>
      <c r="AA39" s="761"/>
      <c r="AB39" s="912"/>
      <c r="AC39" s="914" t="str">
        <f t="shared" si="6"/>
        <v/>
      </c>
      <c r="AD39" s="574"/>
      <c r="AE39" s="574"/>
      <c r="AF39" s="574"/>
      <c r="AG39" s="574"/>
      <c r="AH39" s="839" t="s">
        <v>747</v>
      </c>
      <c r="AI39" s="29"/>
      <c r="AJ39" s="626">
        <v>1</v>
      </c>
      <c r="AK39" s="29"/>
      <c r="AL39" s="77">
        <v>10</v>
      </c>
      <c r="AN39" s="837" t="s">
        <v>747</v>
      </c>
      <c r="AQ39" s="853" t="s">
        <v>1197</v>
      </c>
    </row>
    <row r="40" spans="1:43" ht="20.100000000000001" customHeight="1">
      <c r="A40" s="618" t="str">
        <f>IF(B40="","",
   IF(ISNUMBER(SEARCH("현대자동차",'대기측정 분석결과서'!$E$4)),
      IF(B40=$AN$38,$AQ$38,
      IF(B40=$AN$39,$AQ$39,
      IF(B40=$AN$40,$AQ$40,
      IF(B40=$AN$41,$AQ$41,
      IF(B40=$AN$42,$AQ$42,
      B40))))),
   B40)
)</f>
        <v/>
      </c>
      <c r="B40" s="1647"/>
      <c r="C40" s="1648"/>
      <c r="D40" s="1649"/>
      <c r="E40" s="1653" t="str">
        <f t="shared" si="2"/>
        <v/>
      </c>
      <c r="F40" s="1654"/>
      <c r="G40" s="1654"/>
      <c r="H40" s="1655"/>
      <c r="I40" s="856" t="str">
        <f t="shared" si="7"/>
        <v/>
      </c>
      <c r="J40" s="859"/>
      <c r="K40" s="611"/>
      <c r="L40" s="861" t="str">
        <f t="shared" si="3"/>
        <v/>
      </c>
      <c r="M40" s="1656"/>
      <c r="N40" s="1657"/>
      <c r="O40" s="1656"/>
      <c r="P40" s="1657"/>
      <c r="Q40" s="1658"/>
      <c r="R40" s="1659"/>
      <c r="S40" s="1641" t="str">
        <f t="shared" si="4"/>
        <v/>
      </c>
      <c r="T40" s="1641"/>
      <c r="U40" s="1642" t="str">
        <f t="shared" si="5"/>
        <v/>
      </c>
      <c r="V40" s="1642"/>
      <c r="W40" s="636"/>
      <c r="X40" s="637"/>
      <c r="Y40" s="910"/>
      <c r="Z40" s="761"/>
      <c r="AA40" s="761"/>
      <c r="AB40" s="912"/>
      <c r="AC40" s="914" t="str">
        <f t="shared" si="6"/>
        <v/>
      </c>
      <c r="AD40" s="574"/>
      <c r="AE40" s="574"/>
      <c r="AF40" s="574"/>
      <c r="AG40" s="574"/>
      <c r="AH40" s="839" t="s">
        <v>748</v>
      </c>
      <c r="AI40" s="29"/>
      <c r="AJ40" s="626">
        <v>1</v>
      </c>
      <c r="AK40" s="29"/>
      <c r="AL40" s="77">
        <v>40</v>
      </c>
      <c r="AN40" s="837" t="s">
        <v>748</v>
      </c>
      <c r="AQ40" s="852" t="s">
        <v>1218</v>
      </c>
    </row>
    <row r="41" spans="1:43" ht="20.100000000000001" customHeight="1">
      <c r="A41" s="618" t="str">
        <f>IF(B41="","",
   IF(ISNUMBER(SEARCH("현대자동차",'대기측정 분석결과서'!$E$4)),
      IF(B41=$AN$38,$AQ$38,
      IF(B41=$AN$39,$AQ$39,
      IF(B41=$AN$40,$AQ$40,
      IF(B41=$AN$41,$AQ$41,
      IF(B41=$AN$42,$AQ$42,
      B41))))),
   B41)
)</f>
        <v/>
      </c>
      <c r="B41" s="1647"/>
      <c r="C41" s="1648"/>
      <c r="D41" s="1649"/>
      <c r="E41" s="1653" t="str">
        <f t="shared" si="2"/>
        <v/>
      </c>
      <c r="F41" s="1654"/>
      <c r="G41" s="1654"/>
      <c r="H41" s="1655"/>
      <c r="I41" s="856" t="str">
        <f t="shared" si="7"/>
        <v/>
      </c>
      <c r="J41" s="858"/>
      <c r="K41" s="611"/>
      <c r="L41" s="861" t="str">
        <f t="shared" si="3"/>
        <v/>
      </c>
      <c r="M41" s="1641"/>
      <c r="N41" s="1641"/>
      <c r="O41" s="1641"/>
      <c r="P41" s="1641"/>
      <c r="Q41" s="1650"/>
      <c r="R41" s="1650"/>
      <c r="S41" s="1641" t="str">
        <f t="shared" si="4"/>
        <v/>
      </c>
      <c r="T41" s="1641"/>
      <c r="U41" s="1642" t="str">
        <f t="shared" si="5"/>
        <v/>
      </c>
      <c r="V41" s="1642"/>
      <c r="W41" s="636"/>
      <c r="X41" s="637"/>
      <c r="Y41" s="910"/>
      <c r="Z41" s="761"/>
      <c r="AA41" s="761"/>
      <c r="AB41" s="912"/>
      <c r="AC41" s="914" t="str">
        <f t="shared" si="6"/>
        <v/>
      </c>
      <c r="AD41" s="574"/>
      <c r="AE41" s="574"/>
      <c r="AF41" s="574"/>
      <c r="AG41" s="574"/>
      <c r="AH41" s="839" t="s">
        <v>749</v>
      </c>
      <c r="AI41" s="29"/>
      <c r="AJ41" s="626">
        <v>1</v>
      </c>
      <c r="AK41" s="29"/>
      <c r="AL41" s="77">
        <v>20</v>
      </c>
      <c r="AN41" s="837" t="s">
        <v>749</v>
      </c>
      <c r="AQ41" s="850" t="s">
        <v>749</v>
      </c>
    </row>
    <row r="42" spans="1:43" ht="20.100000000000001" customHeight="1">
      <c r="A42" s="618" t="str">
        <f>IF(B42="","",
   IF(ISNUMBER(SEARCH("현대자동차",'대기측정 분석결과서'!$E$4)),
      IF(B42=$AN$38,$AQ$38,
      IF(B42=$AN$39,$AQ$39,
      IF(B42=$AN$40,$AQ$40,
      IF(B42=$AN$41,$AQ$41,
      IF(B42=$AN$42,$AQ$42,
      B42))))),
   B42)
)</f>
        <v/>
      </c>
      <c r="B42" s="1647"/>
      <c r="C42" s="1648"/>
      <c r="D42" s="1649"/>
      <c r="E42" s="1653" t="str">
        <f t="shared" si="2"/>
        <v/>
      </c>
      <c r="F42" s="1654"/>
      <c r="G42" s="1654"/>
      <c r="H42" s="1655"/>
      <c r="I42" s="856" t="str">
        <f t="shared" si="7"/>
        <v/>
      </c>
      <c r="J42" s="857"/>
      <c r="K42" s="611"/>
      <c r="L42" s="861" t="str">
        <f t="shared" si="3"/>
        <v/>
      </c>
      <c r="M42" s="1651"/>
      <c r="N42" s="1651"/>
      <c r="O42" s="1651"/>
      <c r="P42" s="1651"/>
      <c r="Q42" s="1652"/>
      <c r="R42" s="1652"/>
      <c r="S42" s="1641" t="str">
        <f t="shared" si="4"/>
        <v/>
      </c>
      <c r="T42" s="1641"/>
      <c r="U42" s="1642" t="str">
        <f t="shared" si="5"/>
        <v/>
      </c>
      <c r="V42" s="1642"/>
      <c r="W42" s="636"/>
      <c r="X42" s="637"/>
      <c r="Y42" s="910"/>
      <c r="Z42" s="761"/>
      <c r="AA42" s="761"/>
      <c r="AB42" s="912"/>
      <c r="AC42" s="914" t="str">
        <f t="shared" si="6"/>
        <v/>
      </c>
      <c r="AD42" s="574"/>
      <c r="AE42" s="574"/>
      <c r="AF42" s="574"/>
      <c r="AG42" s="574"/>
      <c r="AH42" s="839" t="s">
        <v>1082</v>
      </c>
      <c r="AI42" s="29"/>
      <c r="AJ42" s="896" t="e">
        <f>'먼지측정 사전 Data'!R80*1000/'먼지측정 사전 Data'!R75</f>
        <v>#DIV/0!</v>
      </c>
      <c r="AK42" s="29"/>
      <c r="AL42" s="77"/>
      <c r="AN42" s="837" t="s">
        <v>1082</v>
      </c>
      <c r="AQ42" s="847" t="s">
        <v>1082</v>
      </c>
    </row>
    <row r="43" spans="1:43" ht="20.100000000000001" customHeight="1">
      <c r="A43" s="618" t="str">
        <f>IF(B43="","",
   IF(ISNUMBER(SEARCH("현대자동차",'대기측정 분석결과서'!$E$4)),
      IF(B43=$AN$38,$AQ$38,
      IF(B43=$AN$39,$AQ$39,
      IF(B43=$AN$40,$AQ$40,
      IF(B43=$AN$41,$AQ$41,
      IF(B43=$AN$42,$AQ$42,
      B43))))),
   B43)
)</f>
        <v/>
      </c>
      <c r="B43" s="1647"/>
      <c r="C43" s="1648"/>
      <c r="D43" s="1649"/>
      <c r="E43" s="1653" t="str">
        <f t="shared" si="2"/>
        <v/>
      </c>
      <c r="F43" s="1654"/>
      <c r="G43" s="1654"/>
      <c r="H43" s="1655"/>
      <c r="I43" s="856" t="str">
        <f t="shared" si="7"/>
        <v/>
      </c>
      <c r="J43" s="858"/>
      <c r="K43" s="611"/>
      <c r="L43" s="861" t="str">
        <f t="shared" si="3"/>
        <v/>
      </c>
      <c r="M43" s="1641"/>
      <c r="N43" s="1641"/>
      <c r="O43" s="1641"/>
      <c r="P43" s="1641"/>
      <c r="Q43" s="1650"/>
      <c r="R43" s="1650"/>
      <c r="S43" s="1641" t="str">
        <f t="shared" si="4"/>
        <v/>
      </c>
      <c r="T43" s="1641"/>
      <c r="U43" s="1642" t="str">
        <f t="shared" si="5"/>
        <v/>
      </c>
      <c r="V43" s="1642"/>
      <c r="W43" s="844"/>
      <c r="X43" s="845"/>
      <c r="Y43" s="762"/>
      <c r="Z43" s="763"/>
      <c r="AA43" s="763"/>
      <c r="AB43" s="913"/>
      <c r="AC43" s="914" t="str">
        <f t="shared" si="6"/>
        <v/>
      </c>
      <c r="AD43" s="574"/>
      <c r="AE43" s="574"/>
      <c r="AF43" s="574"/>
      <c r="AG43" s="574"/>
      <c r="AH43" s="839" t="s">
        <v>1083</v>
      </c>
      <c r="AI43" s="29"/>
      <c r="AJ43" s="626">
        <v>0.2</v>
      </c>
      <c r="AK43" s="29"/>
      <c r="AL43" s="77">
        <v>1</v>
      </c>
      <c r="AN43" s="837" t="s">
        <v>1083</v>
      </c>
      <c r="AQ43" s="853" t="s">
        <v>1083</v>
      </c>
    </row>
    <row r="44" spans="1:43" ht="23.1" customHeight="1">
      <c r="A44" s="618" t="str">
        <f>IF(B44="","",
   IF(ISNUMBER(SEARCH("현대자동차",'대기측정 분석결과서'!$E$4)),
      IF(B44=$AN$38,$AQ$38,
      IF(B44=$AN$39,$AQ$39,
      IF(B44=$AN$40,$AQ$40,
      IF(B44=$AN$41,$AQ$41,
      IF(B44=$AN$42,$AQ$42,
      B44))))),
   B44)
)</f>
        <v/>
      </c>
      <c r="B44" s="1645"/>
      <c r="C44" s="1645"/>
      <c r="D44" s="1645"/>
      <c r="E44" s="1646" t="str">
        <f t="shared" ref="E44" si="8">IF(Y44="","",IF(Y44&lt;10,"0"&amp;Y44,Y44)&amp;" : "&amp;IF(Z44&lt;10,"0"&amp;Z44,Z44)&amp;" ~ "&amp;IF(AA44&lt;10,"0"&amp;AA44,AA44)&amp;" : "&amp;IF(AB44&lt;10,"0"&amp;AB44,AB44))</f>
        <v/>
      </c>
      <c r="F44" s="1646"/>
      <c r="G44" s="1646"/>
      <c r="H44" s="1646"/>
      <c r="I44" s="856" t="str">
        <f t="shared" si="7"/>
        <v/>
      </c>
      <c r="J44" s="790"/>
      <c r="K44" s="855"/>
      <c r="L44" s="854" t="str">
        <f t="shared" si="3"/>
        <v/>
      </c>
      <c r="M44" s="1639"/>
      <c r="N44" s="1639"/>
      <c r="O44" s="1639"/>
      <c r="P44" s="1639"/>
      <c r="Q44" s="1640"/>
      <c r="R44" s="1640"/>
      <c r="S44" s="1641" t="str">
        <f t="shared" si="4"/>
        <v/>
      </c>
      <c r="T44" s="1641"/>
      <c r="U44" s="1642" t="str">
        <f t="shared" ref="U44" si="9">IF(B44="VOCs-T",1,IF(B44="VOCs-A",1,IF(B44="VOCs",5,IF(M44="","",O44-M44))))</f>
        <v/>
      </c>
      <c r="V44" s="1642"/>
      <c r="W44" s="789"/>
      <c r="X44" s="789"/>
      <c r="Y44" s="762"/>
      <c r="Z44" s="763"/>
      <c r="AA44" s="763"/>
      <c r="AB44" s="913"/>
      <c r="AC44" s="914" t="str">
        <f t="shared" si="6"/>
        <v/>
      </c>
      <c r="AD44" s="574"/>
      <c r="AE44" s="574"/>
      <c r="AF44" s="574"/>
      <c r="AG44" s="574"/>
      <c r="AH44" s="839" t="s">
        <v>1084</v>
      </c>
      <c r="AI44" s="29"/>
      <c r="AJ44" s="626">
        <v>0.2</v>
      </c>
      <c r="AK44" s="29"/>
      <c r="AL44" s="77">
        <v>1</v>
      </c>
      <c r="AN44" s="837" t="s">
        <v>1084</v>
      </c>
      <c r="AQ44" s="853" t="s">
        <v>1084</v>
      </c>
    </row>
    <row r="45" spans="1:43" ht="23.1" customHeight="1">
      <c r="B45" s="1643"/>
      <c r="C45" s="1643"/>
      <c r="D45" s="1643"/>
      <c r="E45" s="1635"/>
      <c r="F45" s="1635"/>
      <c r="G45" s="1644"/>
      <c r="H45" s="1644"/>
      <c r="I45" s="1635"/>
      <c r="J45" s="1635"/>
      <c r="K45" s="1635"/>
      <c r="L45" s="1635"/>
      <c r="M45" s="1635"/>
      <c r="N45" s="1635"/>
      <c r="O45" s="1635"/>
      <c r="P45" s="1635"/>
      <c r="Q45" s="1643"/>
      <c r="R45" s="1643"/>
      <c r="S45" s="1643"/>
      <c r="T45" s="1643"/>
      <c r="U45" s="1635"/>
      <c r="V45" s="1635"/>
      <c r="AH45" s="839" t="s">
        <v>1085</v>
      </c>
      <c r="AI45" s="29"/>
      <c r="AJ45" s="626">
        <v>1</v>
      </c>
      <c r="AK45" s="29"/>
      <c r="AL45" s="77">
        <v>5</v>
      </c>
      <c r="AN45" s="837" t="s">
        <v>1085</v>
      </c>
      <c r="AQ45" s="853" t="s">
        <v>1085</v>
      </c>
    </row>
    <row r="46" spans="1:43" ht="13.5" customHeight="1">
      <c r="AH46" s="840" t="s">
        <v>928</v>
      </c>
      <c r="AJ46" s="624"/>
      <c r="AL46" s="618"/>
      <c r="AN46" s="838" t="s">
        <v>928</v>
      </c>
      <c r="AQ46" s="618" t="s">
        <v>928</v>
      </c>
    </row>
    <row r="47" spans="1:43" ht="13.5" customHeight="1">
      <c r="AH47" s="840" t="s">
        <v>1246</v>
      </c>
      <c r="AJ47" s="569">
        <v>1</v>
      </c>
      <c r="AL47" s="624">
        <v>20</v>
      </c>
      <c r="AN47" s="838" t="s">
        <v>1246</v>
      </c>
      <c r="AQ47" s="618" t="s">
        <v>1246</v>
      </c>
    </row>
    <row r="48" spans="1:43" ht="13.5" customHeight="1">
      <c r="B48" s="1636"/>
      <c r="C48" s="1637"/>
      <c r="D48" s="1637"/>
      <c r="E48" s="1637"/>
      <c r="F48" s="1637"/>
      <c r="G48" s="1637"/>
      <c r="H48" s="1637"/>
      <c r="I48" s="1637"/>
      <c r="J48" s="625"/>
      <c r="K48" s="625"/>
      <c r="L48" s="625"/>
      <c r="M48" s="625"/>
      <c r="N48" s="625"/>
      <c r="O48" s="625"/>
      <c r="P48" s="625"/>
      <c r="Q48" s="625"/>
      <c r="R48" s="1638"/>
      <c r="S48" s="1638"/>
      <c r="T48" s="1638"/>
      <c r="U48" s="1638"/>
      <c r="V48" s="1638"/>
      <c r="W48" s="1638"/>
      <c r="X48" s="1638"/>
    </row>
  </sheetData>
  <sheetProtection algorithmName="SHA-512" hashValue="9kATAy4i46CwscDo/gl5RcrPHUS/vJD9dDGnksnYHp4C/HK0UfNfRTJmYqgmb0BGxccCdvc1VjyIuqriO3g6nw==" saltValue="ixnYN6NlneA0ToPul1nicg==" spinCount="100000" sheet="1" formatCells="0"/>
  <mergeCells count="337">
    <mergeCell ref="AO20:AR20"/>
    <mergeCell ref="Y23:AB23"/>
    <mergeCell ref="AF9:AG9"/>
    <mergeCell ref="AH9:AI9"/>
    <mergeCell ref="AF10:AG10"/>
    <mergeCell ref="AH10:AI10"/>
    <mergeCell ref="AF11:AG12"/>
    <mergeCell ref="AH11:AI12"/>
    <mergeCell ref="AL11:AM12"/>
    <mergeCell ref="AN11:AO12"/>
    <mergeCell ref="AP11:AQ12"/>
    <mergeCell ref="AO18:AR18"/>
    <mergeCell ref="AC21:AF21"/>
    <mergeCell ref="AC23:AF23"/>
    <mergeCell ref="AG21:AJ21"/>
    <mergeCell ref="AG23:AJ23"/>
    <mergeCell ref="AJ9:AK9"/>
    <mergeCell ref="AL9:AM9"/>
    <mergeCell ref="AN9:AO9"/>
    <mergeCell ref="AP9:AQ9"/>
    <mergeCell ref="AJ10:AK10"/>
    <mergeCell ref="AL10:AM10"/>
    <mergeCell ref="AN10:AO10"/>
    <mergeCell ref="AP10:AQ10"/>
    <mergeCell ref="Y32:AB33"/>
    <mergeCell ref="Y20:AB20"/>
    <mergeCell ref="Y18:AB18"/>
    <mergeCell ref="AC18:AF18"/>
    <mergeCell ref="AG18:AJ18"/>
    <mergeCell ref="Y21:AB21"/>
    <mergeCell ref="AC20:AF20"/>
    <mergeCell ref="AG20:AJ20"/>
    <mergeCell ref="AJ11:AK12"/>
    <mergeCell ref="AK18:AN18"/>
    <mergeCell ref="AK20:AN20"/>
    <mergeCell ref="Y24:Z24"/>
    <mergeCell ref="AA24:AB24"/>
    <mergeCell ref="AC24:AD24"/>
    <mergeCell ref="AE24:AF24"/>
    <mergeCell ref="AG24:AH24"/>
    <mergeCell ref="AI24:AJ24"/>
    <mergeCell ref="Y25:Z25"/>
    <mergeCell ref="AA25:AB25"/>
    <mergeCell ref="AC25:AD25"/>
    <mergeCell ref="AE25:AF25"/>
    <mergeCell ref="AG25:AH25"/>
    <mergeCell ref="B1:X1"/>
    <mergeCell ref="B3:E4"/>
    <mergeCell ref="F3:J4"/>
    <mergeCell ref="K4:P4"/>
    <mergeCell ref="Q3:S4"/>
    <mergeCell ref="T3:U4"/>
    <mergeCell ref="V3:W4"/>
    <mergeCell ref="X3:X4"/>
    <mergeCell ref="K3:M3"/>
    <mergeCell ref="N3:O3"/>
    <mergeCell ref="B5:E5"/>
    <mergeCell ref="F5:J5"/>
    <mergeCell ref="Q5:S5"/>
    <mergeCell ref="T5:U5"/>
    <mergeCell ref="V5:W5"/>
    <mergeCell ref="B6:E6"/>
    <mergeCell ref="F6:J6"/>
    <mergeCell ref="Q6:S6"/>
    <mergeCell ref="T6:U6"/>
    <mergeCell ref="V6:W6"/>
    <mergeCell ref="B8:E8"/>
    <mergeCell ref="Q8:R8"/>
    <mergeCell ref="S8:U8"/>
    <mergeCell ref="W8:X8"/>
    <mergeCell ref="Q7:U7"/>
    <mergeCell ref="B7:E7"/>
    <mergeCell ref="F7:J7"/>
    <mergeCell ref="V7:X7"/>
    <mergeCell ref="B9:E9"/>
    <mergeCell ref="F9:J9"/>
    <mergeCell ref="K9:P9"/>
    <mergeCell ref="Q9:U9"/>
    <mergeCell ref="V9:W9"/>
    <mergeCell ref="B10:E10"/>
    <mergeCell ref="F10:J10"/>
    <mergeCell ref="K10:L10"/>
    <mergeCell ref="M10:P10"/>
    <mergeCell ref="Q10:S10"/>
    <mergeCell ref="T10:U10"/>
    <mergeCell ref="V10:W10"/>
    <mergeCell ref="B11:E11"/>
    <mergeCell ref="F11:J11"/>
    <mergeCell ref="K11:L11"/>
    <mergeCell ref="M11:P11"/>
    <mergeCell ref="Q11:S11"/>
    <mergeCell ref="T11:U11"/>
    <mergeCell ref="V11:W11"/>
    <mergeCell ref="V12:X12"/>
    <mergeCell ref="B13:E14"/>
    <mergeCell ref="F13:H13"/>
    <mergeCell ref="I13:J13"/>
    <mergeCell ref="K13:L14"/>
    <mergeCell ref="M13:P14"/>
    <mergeCell ref="Q13:U14"/>
    <mergeCell ref="V13:X14"/>
    <mergeCell ref="F14:H14"/>
    <mergeCell ref="I14:J14"/>
    <mergeCell ref="B12:E12"/>
    <mergeCell ref="F12:H12"/>
    <mergeCell ref="I12:J12"/>
    <mergeCell ref="K12:L12"/>
    <mergeCell ref="M12:P12"/>
    <mergeCell ref="Q12:U12"/>
    <mergeCell ref="V15:X15"/>
    <mergeCell ref="B18:C19"/>
    <mergeCell ref="D18:E19"/>
    <mergeCell ref="F18:G19"/>
    <mergeCell ref="H18:I19"/>
    <mergeCell ref="J18:K19"/>
    <mergeCell ref="L18:N18"/>
    <mergeCell ref="O18:P19"/>
    <mergeCell ref="Q18:R19"/>
    <mergeCell ref="B15:E15"/>
    <mergeCell ref="F15:H15"/>
    <mergeCell ref="I15:J15"/>
    <mergeCell ref="K15:L15"/>
    <mergeCell ref="M15:P15"/>
    <mergeCell ref="Q15:U15"/>
    <mergeCell ref="S18:T19"/>
    <mergeCell ref="U18:V19"/>
    <mergeCell ref="B16:E16"/>
    <mergeCell ref="G16:H16"/>
    <mergeCell ref="B20:C20"/>
    <mergeCell ref="D20:E20"/>
    <mergeCell ref="F20:G20"/>
    <mergeCell ref="H20:I20"/>
    <mergeCell ref="J20:K20"/>
    <mergeCell ref="O20:P20"/>
    <mergeCell ref="Q20:R20"/>
    <mergeCell ref="S20:T20"/>
    <mergeCell ref="U20:V20"/>
    <mergeCell ref="B21:C21"/>
    <mergeCell ref="D21:E21"/>
    <mergeCell ref="F21:G21"/>
    <mergeCell ref="H21:I21"/>
    <mergeCell ref="J21:K21"/>
    <mergeCell ref="O21:P21"/>
    <mergeCell ref="Q21:R21"/>
    <mergeCell ref="S21:T21"/>
    <mergeCell ref="U21:V21"/>
    <mergeCell ref="Q22:R22"/>
    <mergeCell ref="S22:T22"/>
    <mergeCell ref="U22:V22"/>
    <mergeCell ref="B23:C23"/>
    <mergeCell ref="D23:E23"/>
    <mergeCell ref="F23:G23"/>
    <mergeCell ref="H23:I23"/>
    <mergeCell ref="J23:K23"/>
    <mergeCell ref="O23:P23"/>
    <mergeCell ref="Q23:R23"/>
    <mergeCell ref="B22:C22"/>
    <mergeCell ref="D22:E22"/>
    <mergeCell ref="F22:G22"/>
    <mergeCell ref="H22:I22"/>
    <mergeCell ref="J22:K22"/>
    <mergeCell ref="O22:P22"/>
    <mergeCell ref="S23:T23"/>
    <mergeCell ref="U23:V23"/>
    <mergeCell ref="B24:C24"/>
    <mergeCell ref="D24:E24"/>
    <mergeCell ref="F24:G24"/>
    <mergeCell ref="H24:I24"/>
    <mergeCell ref="J24:K24"/>
    <mergeCell ref="O24:P24"/>
    <mergeCell ref="Q24:R24"/>
    <mergeCell ref="S24:T24"/>
    <mergeCell ref="U24:V24"/>
    <mergeCell ref="B25:C25"/>
    <mergeCell ref="D25:E25"/>
    <mergeCell ref="F25:G25"/>
    <mergeCell ref="H25:I25"/>
    <mergeCell ref="J25:K25"/>
    <mergeCell ref="O25:P25"/>
    <mergeCell ref="Q25:R25"/>
    <mergeCell ref="S25:T25"/>
    <mergeCell ref="U25:V25"/>
    <mergeCell ref="S30:U30"/>
    <mergeCell ref="V30:X30"/>
    <mergeCell ref="O26:P26"/>
    <mergeCell ref="Q26:R26"/>
    <mergeCell ref="S26:T26"/>
    <mergeCell ref="U26:V26"/>
    <mergeCell ref="W26:X26"/>
    <mergeCell ref="B27:D27"/>
    <mergeCell ref="E27:G27"/>
    <mergeCell ref="H27:J27"/>
    <mergeCell ref="K27:N27"/>
    <mergeCell ref="O27:R27"/>
    <mergeCell ref="B26:C26"/>
    <mergeCell ref="D26:E26"/>
    <mergeCell ref="F26:G26"/>
    <mergeCell ref="H26:I26"/>
    <mergeCell ref="J26:K26"/>
    <mergeCell ref="M26:N26"/>
    <mergeCell ref="S27:V27"/>
    <mergeCell ref="W27:X27"/>
    <mergeCell ref="I32:I33"/>
    <mergeCell ref="J32:J33"/>
    <mergeCell ref="E32:H33"/>
    <mergeCell ref="B31:G31"/>
    <mergeCell ref="L29:M29"/>
    <mergeCell ref="N29:O29"/>
    <mergeCell ref="P29:R29"/>
    <mergeCell ref="S29:U29"/>
    <mergeCell ref="V29:X29"/>
    <mergeCell ref="B30:D30"/>
    <mergeCell ref="E30:G30"/>
    <mergeCell ref="H30:I30"/>
    <mergeCell ref="J30:K30"/>
    <mergeCell ref="L30:M30"/>
    <mergeCell ref="B28:D29"/>
    <mergeCell ref="E28:G29"/>
    <mergeCell ref="H28:K28"/>
    <mergeCell ref="L28:O28"/>
    <mergeCell ref="P28:T28"/>
    <mergeCell ref="U28:W28"/>
    <mergeCell ref="H29:I29"/>
    <mergeCell ref="J29:K29"/>
    <mergeCell ref="N30:O30"/>
    <mergeCell ref="P30:R30"/>
    <mergeCell ref="W33:X33"/>
    <mergeCell ref="W32:X32"/>
    <mergeCell ref="O34:P34"/>
    <mergeCell ref="Q34:R34"/>
    <mergeCell ref="S34:T34"/>
    <mergeCell ref="U34:V34"/>
    <mergeCell ref="B35:D35"/>
    <mergeCell ref="M35:N35"/>
    <mergeCell ref="B34:D34"/>
    <mergeCell ref="M34:N34"/>
    <mergeCell ref="O35:P35"/>
    <mergeCell ref="Q35:R35"/>
    <mergeCell ref="S35:T35"/>
    <mergeCell ref="U35:V35"/>
    <mergeCell ref="E34:H34"/>
    <mergeCell ref="E35:H35"/>
    <mergeCell ref="Q32:T32"/>
    <mergeCell ref="U32:V33"/>
    <mergeCell ref="Q33:R33"/>
    <mergeCell ref="S33:T33"/>
    <mergeCell ref="B32:D33"/>
    <mergeCell ref="M32:N33"/>
    <mergeCell ref="O32:P33"/>
    <mergeCell ref="K32:L32"/>
    <mergeCell ref="U36:V36"/>
    <mergeCell ref="B37:D37"/>
    <mergeCell ref="M37:N37"/>
    <mergeCell ref="O37:P37"/>
    <mergeCell ref="Q37:R37"/>
    <mergeCell ref="S37:T37"/>
    <mergeCell ref="U37:V37"/>
    <mergeCell ref="B36:D36"/>
    <mergeCell ref="M36:N36"/>
    <mergeCell ref="O36:P36"/>
    <mergeCell ref="Q36:R36"/>
    <mergeCell ref="S36:T36"/>
    <mergeCell ref="E36:H36"/>
    <mergeCell ref="E37:H37"/>
    <mergeCell ref="U38:V38"/>
    <mergeCell ref="B39:D39"/>
    <mergeCell ref="M39:N39"/>
    <mergeCell ref="O39:P39"/>
    <mergeCell ref="Q39:R39"/>
    <mergeCell ref="S39:T39"/>
    <mergeCell ref="U39:V39"/>
    <mergeCell ref="B38:D38"/>
    <mergeCell ref="M38:N38"/>
    <mergeCell ref="O38:P38"/>
    <mergeCell ref="Q38:R38"/>
    <mergeCell ref="S38:T38"/>
    <mergeCell ref="E38:H38"/>
    <mergeCell ref="E39:H39"/>
    <mergeCell ref="U40:V40"/>
    <mergeCell ref="B41:D41"/>
    <mergeCell ref="M41:N41"/>
    <mergeCell ref="O41:P41"/>
    <mergeCell ref="Q41:R41"/>
    <mergeCell ref="S41:T41"/>
    <mergeCell ref="U41:V41"/>
    <mergeCell ref="B40:D40"/>
    <mergeCell ref="M40:N40"/>
    <mergeCell ref="O40:P40"/>
    <mergeCell ref="Q40:R40"/>
    <mergeCell ref="S40:T40"/>
    <mergeCell ref="E40:H40"/>
    <mergeCell ref="E41:H41"/>
    <mergeCell ref="U42:V42"/>
    <mergeCell ref="B43:D43"/>
    <mergeCell ref="M43:N43"/>
    <mergeCell ref="O43:P43"/>
    <mergeCell ref="Q43:R43"/>
    <mergeCell ref="S43:T43"/>
    <mergeCell ref="U43:V43"/>
    <mergeCell ref="B42:D42"/>
    <mergeCell ref="M42:N42"/>
    <mergeCell ref="O42:P42"/>
    <mergeCell ref="Q42:R42"/>
    <mergeCell ref="S42:T42"/>
    <mergeCell ref="E42:H42"/>
    <mergeCell ref="E43:H43"/>
    <mergeCell ref="U45:V45"/>
    <mergeCell ref="B48:I48"/>
    <mergeCell ref="R48:X48"/>
    <mergeCell ref="M44:N44"/>
    <mergeCell ref="O44:P44"/>
    <mergeCell ref="Q44:R44"/>
    <mergeCell ref="S44:T44"/>
    <mergeCell ref="U44:V44"/>
    <mergeCell ref="B45:D45"/>
    <mergeCell ref="E45:F45"/>
    <mergeCell ref="G45:H45"/>
    <mergeCell ref="I45:J45"/>
    <mergeCell ref="K45:L45"/>
    <mergeCell ref="B44:D44"/>
    <mergeCell ref="M45:N45"/>
    <mergeCell ref="O45:P45"/>
    <mergeCell ref="Q45:R45"/>
    <mergeCell ref="S45:T45"/>
    <mergeCell ref="E44:H44"/>
    <mergeCell ref="AA4:AB4"/>
    <mergeCell ref="AC4:AD4"/>
    <mergeCell ref="AE4:AG4"/>
    <mergeCell ref="AA1:AB1"/>
    <mergeCell ref="AC1:AD1"/>
    <mergeCell ref="AE1:AG1"/>
    <mergeCell ref="AA2:AB2"/>
    <mergeCell ref="AC2:AD2"/>
    <mergeCell ref="AE2:AG2"/>
    <mergeCell ref="AA3:AB3"/>
    <mergeCell ref="AC3:AD3"/>
    <mergeCell ref="AE3:AG3"/>
  </mergeCells>
  <phoneticPr fontId="2" type="noConversion"/>
  <dataValidations count="1">
    <dataValidation type="list" allowBlank="1" showInputMessage="1" showErrorMessage="1" sqref="B34:D44" xr:uid="{3AF08F9B-3546-4ADC-9ABA-4B91755CF69C}">
      <formula1>$AH$34:$AH$47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&amp;L&amp;"Malgun Gothic Semilight,보통"&amp;9fKET-A-QP-14-01-01(2)        &amp;"굴림체,보통"                                          &amp;R&amp;G</oddFooter>
  </headerFooter>
  <rowBreaks count="1" manualBreakCount="1">
    <brk id="45" min="1" max="23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5E8E-C570-4216-ACF7-417AF188C6E6}">
  <sheetPr>
    <tabColor theme="5" tint="0.39997558519241921"/>
  </sheetPr>
  <dimension ref="A1:BN56"/>
  <sheetViews>
    <sheetView view="pageBreakPreview" zoomScale="115" zoomScaleNormal="130" zoomScaleSheetLayoutView="115" zoomScalePageLayoutView="55" workbookViewId="0">
      <selection activeCell="BA15" sqref="BA15"/>
    </sheetView>
  </sheetViews>
  <sheetFormatPr defaultRowHeight="16.899999999999999"/>
  <cols>
    <col min="1" max="12" width="2.125" style="258" customWidth="1"/>
    <col min="13" max="49" width="2.125" customWidth="1"/>
    <col min="51" max="66" width="4.25" customWidth="1"/>
  </cols>
  <sheetData>
    <row r="1" spans="1:66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834" t="s">
        <v>935</v>
      </c>
      <c r="AM1" s="1834"/>
      <c r="AN1" s="1834"/>
      <c r="AO1" s="1834"/>
      <c r="AP1" s="1834"/>
      <c r="AQ1" s="1834"/>
      <c r="AR1" s="1834" t="s">
        <v>852</v>
      </c>
      <c r="AS1" s="1834"/>
      <c r="AT1" s="1834"/>
      <c r="AU1" s="1834"/>
      <c r="AV1" s="1834"/>
      <c r="AW1" s="1834"/>
    </row>
    <row r="2" spans="1:66" ht="16.5" customHeight="1" thickBo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833"/>
      <c r="AM2" s="1833"/>
      <c r="AN2" s="1833"/>
      <c r="AO2" s="1833"/>
      <c r="AP2" s="1833"/>
      <c r="AQ2" s="1833"/>
      <c r="AR2" s="1833"/>
      <c r="AS2" s="1833"/>
      <c r="AT2" s="1833"/>
      <c r="AU2" s="1833"/>
      <c r="AV2" s="1833"/>
      <c r="AW2" s="1833"/>
    </row>
    <row r="3" spans="1:66" ht="16.5" customHeight="1" thickTop="1" thickBo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T3" s="658"/>
      <c r="U3" s="658"/>
      <c r="V3" s="658"/>
      <c r="W3" s="658"/>
      <c r="X3" s="658"/>
      <c r="Y3" s="658"/>
      <c r="Z3" s="658"/>
      <c r="AA3" s="658"/>
      <c r="AB3" s="658"/>
      <c r="AC3" s="658"/>
      <c r="AD3" s="658"/>
      <c r="AE3" s="657"/>
      <c r="AF3" s="657"/>
      <c r="AG3" s="657"/>
      <c r="AH3" s="657"/>
      <c r="AI3" s="657"/>
      <c r="AJ3" s="657"/>
      <c r="AK3" s="657"/>
      <c r="AL3" s="1833"/>
      <c r="AM3" s="1833"/>
      <c r="AN3" s="1833"/>
      <c r="AO3" s="1833"/>
      <c r="AP3" s="1833"/>
      <c r="AQ3" s="1833"/>
      <c r="AR3" s="1833"/>
      <c r="AS3" s="1833"/>
      <c r="AT3" s="1833"/>
      <c r="AU3" s="1833"/>
      <c r="AV3" s="1833"/>
      <c r="AW3" s="1833"/>
      <c r="AY3" s="1906"/>
      <c r="AZ3" s="1907"/>
      <c r="BA3" s="1906"/>
      <c r="BB3" s="1907"/>
      <c r="BC3" s="1906"/>
      <c r="BD3" s="1907"/>
      <c r="BE3" s="1906"/>
      <c r="BF3" s="1907"/>
      <c r="BG3" s="1906"/>
      <c r="BH3" s="1907"/>
      <c r="BI3" s="1906"/>
      <c r="BJ3" s="1907"/>
      <c r="BK3" s="1906"/>
      <c r="BL3" s="1907"/>
      <c r="BM3" s="1906"/>
      <c r="BN3" s="1907"/>
    </row>
    <row r="4" spans="1:66" s="155" customFormat="1" ht="15" customHeight="1" thickTop="1" thickBo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659" t="s">
        <v>1050</v>
      </c>
      <c r="K4" s="659"/>
      <c r="L4" s="659"/>
      <c r="M4" s="659"/>
      <c r="N4" s="659"/>
      <c r="O4" s="659"/>
      <c r="P4" s="659"/>
      <c r="Q4" s="659"/>
      <c r="R4" s="659"/>
      <c r="S4" s="659"/>
      <c r="T4" s="660"/>
      <c r="U4" s="660"/>
      <c r="V4" s="660"/>
      <c r="W4" s="660"/>
      <c r="X4" s="660"/>
      <c r="Y4" s="660"/>
      <c r="Z4" s="660"/>
      <c r="AA4" s="660"/>
      <c r="AB4" s="660"/>
      <c r="AC4" s="660"/>
      <c r="AD4" s="660"/>
      <c r="AE4" s="659"/>
      <c r="AF4" s="661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AQ4" s="662"/>
      <c r="AR4" s="662"/>
      <c r="AS4" s="662"/>
      <c r="AT4" s="662"/>
      <c r="AU4" s="662"/>
      <c r="AV4" s="662"/>
      <c r="AW4" s="662"/>
      <c r="AY4" s="1906" t="s">
        <v>609</v>
      </c>
      <c r="AZ4" s="1907"/>
      <c r="BA4" s="1906" t="s">
        <v>631</v>
      </c>
      <c r="BB4" s="1907"/>
      <c r="BC4" s="1906" t="s">
        <v>632</v>
      </c>
      <c r="BD4" s="1907"/>
      <c r="BE4" s="1906" t="s">
        <v>633</v>
      </c>
      <c r="BF4" s="1907"/>
      <c r="BG4" s="1906" t="s">
        <v>634</v>
      </c>
      <c r="BH4" s="1907"/>
      <c r="BI4" s="1906" t="s">
        <v>665</v>
      </c>
      <c r="BJ4" s="1907"/>
      <c r="BK4" s="1906" t="s">
        <v>740</v>
      </c>
      <c r="BL4" s="1907"/>
      <c r="BM4" s="1906" t="s">
        <v>882</v>
      </c>
      <c r="BN4" s="1907"/>
    </row>
    <row r="5" spans="1:66" s="155" customFormat="1" ht="15" customHeight="1" thickTop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1052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'대기측정 분석결과서'!Z1</f>
        <v>0</v>
      </c>
      <c r="AH5" s="1836"/>
      <c r="AI5" s="1836"/>
      <c r="AJ5" s="1836"/>
      <c r="AK5" s="1836"/>
      <c r="AL5" s="662"/>
      <c r="AM5" s="662"/>
      <c r="AN5" s="662"/>
      <c r="AO5" s="662"/>
      <c r="AP5" s="662"/>
      <c r="AQ5" s="662"/>
      <c r="AR5" s="662"/>
      <c r="AS5" s="662"/>
      <c r="AT5" s="662"/>
      <c r="AU5" s="662"/>
      <c r="AV5" s="662"/>
      <c r="AW5" s="662"/>
      <c r="AY5" s="1579"/>
      <c r="AZ5" s="1580"/>
      <c r="BA5" s="1579"/>
      <c r="BB5" s="1580"/>
      <c r="BC5" s="1579"/>
      <c r="BD5" s="1580"/>
      <c r="BE5" s="1579"/>
      <c r="BF5" s="1580"/>
      <c r="BG5" s="1579"/>
      <c r="BH5" s="1580"/>
      <c r="BI5" s="1579"/>
      <c r="BJ5" s="1580"/>
      <c r="BK5" s="1579"/>
      <c r="BL5" s="1580"/>
      <c r="BM5" s="1579"/>
      <c r="BN5" s="1580"/>
    </row>
    <row r="6" spans="1:66" s="155" customFormat="1" ht="15" customHeight="1" thickBo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'먼지측정 사전 Data'!N6</f>
        <v>46059</v>
      </c>
      <c r="AH6" s="1836"/>
      <c r="AI6" s="1836"/>
      <c r="AJ6" s="1836"/>
      <c r="AK6" s="1836"/>
      <c r="AL6" s="662"/>
      <c r="AM6" s="662"/>
      <c r="AN6" s="662"/>
      <c r="AO6" s="662"/>
      <c r="AP6" s="662"/>
      <c r="AQ6" s="662"/>
      <c r="AR6" s="662"/>
      <c r="AS6" s="662"/>
      <c r="AT6" s="662"/>
      <c r="AU6" s="662"/>
      <c r="AV6" s="662"/>
      <c r="AW6" s="662"/>
      <c r="AY6" s="1581"/>
      <c r="AZ6" s="1582"/>
      <c r="BA6" s="1581"/>
      <c r="BB6" s="1582"/>
      <c r="BC6" s="1581"/>
      <c r="BD6" s="1582"/>
      <c r="BE6" s="1581"/>
      <c r="BF6" s="1582"/>
      <c r="BG6" s="1581"/>
      <c r="BH6" s="1582"/>
      <c r="BI6" s="1581"/>
      <c r="BJ6" s="1582"/>
      <c r="BK6" s="1581"/>
      <c r="BL6" s="1582"/>
      <c r="BM6" s="1581"/>
      <c r="BN6" s="1582"/>
    </row>
    <row r="7" spans="1:66" s="155" customFormat="1" ht="15" customHeight="1" thickTop="1" thickBo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'먼지측정 사전 Data'!H4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62"/>
      <c r="AQ7" s="662"/>
      <c r="AR7" s="662"/>
      <c r="AS7" s="662"/>
      <c r="AT7" s="662"/>
      <c r="AU7" s="662"/>
      <c r="AV7" s="662"/>
      <c r="AW7" s="662"/>
      <c r="AY7" s="1906" t="s">
        <v>607</v>
      </c>
      <c r="AZ7" s="1907"/>
      <c r="BA7" s="1906" t="s">
        <v>608</v>
      </c>
      <c r="BB7" s="1907"/>
      <c r="BC7" s="1906"/>
      <c r="BD7" s="1907"/>
      <c r="BE7" s="1906" t="s">
        <v>733</v>
      </c>
      <c r="BF7" s="1907"/>
      <c r="BG7" s="378"/>
      <c r="BH7" s="378"/>
      <c r="BI7" s="1575"/>
      <c r="BJ7" s="1576"/>
      <c r="BK7" s="1575"/>
      <c r="BL7" s="1576"/>
      <c r="BM7" s="1575"/>
      <c r="BN7" s="1576"/>
    </row>
    <row r="8" spans="1:66" s="155" customFormat="1" ht="15" customHeight="1" thickTop="1" thickBo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  <c r="AY8" s="1906" t="s">
        <v>823</v>
      </c>
      <c r="AZ8" s="1908"/>
      <c r="BA8" s="1908"/>
      <c r="BB8" s="1907"/>
      <c r="BC8" s="1906"/>
      <c r="BD8" s="1907"/>
      <c r="BE8" s="1906" t="s">
        <v>1068</v>
      </c>
      <c r="BF8" s="1907"/>
      <c r="BG8" s="378"/>
      <c r="BH8" s="378"/>
      <c r="BI8" s="1906" t="s">
        <v>734</v>
      </c>
      <c r="BJ8" s="1907"/>
      <c r="BK8" s="1906" t="s">
        <v>822</v>
      </c>
      <c r="BL8" s="1907"/>
      <c r="BM8" s="1906" t="s">
        <v>883</v>
      </c>
      <c r="BN8" s="1907"/>
    </row>
    <row r="9" spans="1:66" s="155" customFormat="1" ht="18" customHeight="1" thickTop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  <c r="AY9" s="1579"/>
      <c r="AZ9" s="1909"/>
      <c r="BA9" s="1909"/>
      <c r="BB9" s="1580"/>
      <c r="BC9" s="1579"/>
      <c r="BD9" s="1580"/>
      <c r="BE9" s="1579"/>
      <c r="BF9" s="1580"/>
      <c r="BG9" s="378"/>
      <c r="BH9" s="378"/>
      <c r="BI9" s="1579"/>
      <c r="BJ9" s="1580"/>
      <c r="BK9" s="1579"/>
      <c r="BL9" s="1580"/>
      <c r="BM9" s="1579"/>
      <c r="BN9" s="1580"/>
    </row>
    <row r="10" spans="1:66" s="155" customFormat="1" ht="18" customHeight="1" thickBot="1">
      <c r="A10" s="1842">
        <f>'먼지측정 사전 Data'!O4</f>
        <v>0</v>
      </c>
      <c r="B10" s="1843"/>
      <c r="C10" s="1843"/>
      <c r="D10" s="1843"/>
      <c r="E10" s="1843"/>
      <c r="F10" s="1843"/>
      <c r="G10" s="1843"/>
      <c r="H10" s="1843"/>
      <c r="I10" s="1843"/>
      <c r="J10" s="1843"/>
      <c r="K10" s="1844"/>
      <c r="L10" s="1845"/>
      <c r="M10" s="1846"/>
      <c r="N10" s="1846"/>
      <c r="O10" s="1846"/>
      <c r="P10" s="1846"/>
      <c r="Q10" s="1846"/>
      <c r="R10" s="1846"/>
      <c r="S10" s="1847"/>
      <c r="T10" s="1845"/>
      <c r="U10" s="1846"/>
      <c r="V10" s="1846"/>
      <c r="W10" s="1846"/>
      <c r="X10" s="1846"/>
      <c r="Y10" s="1846"/>
      <c r="Z10" s="1847"/>
      <c r="AA10" s="1848"/>
      <c r="AB10" s="1849"/>
      <c r="AC10" s="1849"/>
      <c r="AD10" s="1849"/>
      <c r="AE10" s="1850"/>
      <c r="AF10" s="1839"/>
      <c r="AG10" s="1840"/>
      <c r="AH10" s="1840"/>
      <c r="AI10" s="1840"/>
      <c r="AJ10" s="1840"/>
      <c r="AK10" s="1841"/>
      <c r="AL10" s="1839"/>
      <c r="AM10" s="1840"/>
      <c r="AN10" s="1840"/>
      <c r="AO10" s="1840"/>
      <c r="AP10" s="1840"/>
      <c r="AQ10" s="1841"/>
      <c r="AR10" s="1839"/>
      <c r="AS10" s="1840"/>
      <c r="AT10" s="1840"/>
      <c r="AU10" s="1840"/>
      <c r="AV10" s="1840"/>
      <c r="AW10" s="1841"/>
      <c r="AY10" s="1581"/>
      <c r="AZ10" s="1910"/>
      <c r="BA10" s="1910"/>
      <c r="BB10" s="1582"/>
      <c r="BC10" s="1581"/>
      <c r="BD10" s="1582"/>
      <c r="BE10" s="1581"/>
      <c r="BF10" s="1582"/>
      <c r="BG10" s="378"/>
      <c r="BH10" s="378"/>
      <c r="BI10" s="1581"/>
      <c r="BJ10" s="1582"/>
      <c r="BK10" s="1581"/>
      <c r="BL10" s="1582"/>
      <c r="BM10" s="1581"/>
      <c r="BN10" s="1582"/>
    </row>
    <row r="11" spans="1:66" s="155" customFormat="1" ht="21.95" customHeight="1" thickTop="1">
      <c r="A11" s="1858" t="s">
        <v>970</v>
      </c>
      <c r="B11" s="1859"/>
      <c r="C11" s="1859"/>
      <c r="D11" s="1859"/>
      <c r="E11" s="666" t="s">
        <v>1</v>
      </c>
      <c r="F11" s="1860" t="e">
        <f>ROUND(22.4/18*R11*100/(E13*273/(273+L14)*(Q13+W13)/760+22.4/18*AE13),2)</f>
        <v>#DIV/0!</v>
      </c>
      <c r="G11" s="1860"/>
      <c r="H11" s="1860"/>
      <c r="I11" s="1861" t="s">
        <v>971</v>
      </c>
      <c r="J11" s="1861"/>
      <c r="K11" s="667"/>
      <c r="L11" s="667"/>
      <c r="M11" s="667"/>
      <c r="N11" s="1862">
        <v>22.4</v>
      </c>
      <c r="O11" s="1862"/>
      <c r="P11" s="1851" t="s">
        <v>197</v>
      </c>
      <c r="Q11" s="1851" t="s">
        <v>198</v>
      </c>
      <c r="R11" s="1851">
        <f>'먼지측정 사전 Data'!H50</f>
        <v>0</v>
      </c>
      <c r="S11" s="1851"/>
      <c r="T11" s="1851" t="s">
        <v>199</v>
      </c>
      <c r="U11" s="1853" t="s">
        <v>196</v>
      </c>
      <c r="V11" s="1853"/>
      <c r="W11" s="1853"/>
      <c r="X11" s="668"/>
      <c r="Y11" s="668"/>
      <c r="Z11" s="668"/>
      <c r="AA11" s="668"/>
      <c r="AB11" s="668"/>
      <c r="AC11" s="668"/>
      <c r="AD11" s="668"/>
      <c r="AE11" s="668"/>
      <c r="AF11" s="669"/>
      <c r="AG11" s="669"/>
      <c r="AH11" s="669"/>
      <c r="AI11" s="669"/>
      <c r="AJ11" s="669"/>
      <c r="AK11" s="669"/>
      <c r="AL11" s="669"/>
      <c r="AM11" s="670"/>
      <c r="AN11" s="670"/>
      <c r="AO11" s="670"/>
      <c r="AP11" s="670"/>
      <c r="AQ11" s="670"/>
      <c r="AR11" s="670"/>
      <c r="AS11" s="670"/>
      <c r="AT11" s="670"/>
      <c r="AU11" s="670"/>
      <c r="AV11" s="670"/>
      <c r="AW11" s="671"/>
    </row>
    <row r="12" spans="1:66" s="155" customFormat="1" ht="21.95" customHeight="1">
      <c r="A12" s="1855" t="s">
        <v>200</v>
      </c>
      <c r="B12" s="1852"/>
      <c r="C12" s="1852" t="s">
        <v>201</v>
      </c>
      <c r="D12" s="672"/>
      <c r="E12" s="672"/>
      <c r="F12" s="672"/>
      <c r="G12" s="672"/>
      <c r="H12" s="673"/>
      <c r="I12" s="673"/>
      <c r="J12" s="672"/>
      <c r="K12" s="672"/>
      <c r="L12" s="672"/>
      <c r="M12" s="672"/>
      <c r="N12" s="1856">
        <v>18</v>
      </c>
      <c r="O12" s="1856"/>
      <c r="P12" s="1852"/>
      <c r="Q12" s="1852"/>
      <c r="R12" s="1852"/>
      <c r="S12" s="1852"/>
      <c r="T12" s="1852"/>
      <c r="U12" s="1854"/>
      <c r="V12" s="1854"/>
      <c r="W12" s="1854"/>
      <c r="X12" s="674"/>
      <c r="Y12" s="674"/>
      <c r="Z12" s="674"/>
      <c r="AA12" s="674"/>
      <c r="AB12" s="659"/>
      <c r="AC12" s="659"/>
      <c r="AD12" s="659"/>
      <c r="AE12" s="659"/>
      <c r="AF12" s="659"/>
      <c r="AG12" s="659"/>
      <c r="AH12" s="660"/>
      <c r="AI12" s="659"/>
      <c r="AJ12" s="659"/>
      <c r="AK12" s="659"/>
      <c r="AL12" s="659"/>
      <c r="AM12" s="660"/>
      <c r="AN12" s="660"/>
      <c r="AO12" s="660"/>
      <c r="AP12" s="660"/>
      <c r="AQ12" s="660"/>
      <c r="AR12" s="660"/>
      <c r="AS12" s="660"/>
      <c r="AT12" s="660"/>
      <c r="AU12" s="660"/>
      <c r="AV12" s="660"/>
      <c r="AW12" s="675"/>
    </row>
    <row r="13" spans="1:66" s="155" customFormat="1" ht="21.95" customHeight="1">
      <c r="A13" s="1855"/>
      <c r="B13" s="1852"/>
      <c r="C13" s="1852"/>
      <c r="D13" s="1851" t="s">
        <v>198</v>
      </c>
      <c r="E13" s="1851">
        <f>'먼지측정 사전 Data'!H58</f>
        <v>0</v>
      </c>
      <c r="F13" s="1851"/>
      <c r="G13" s="1851" t="s">
        <v>205</v>
      </c>
      <c r="H13" s="1851"/>
      <c r="I13" s="1851">
        <v>273</v>
      </c>
      <c r="J13" s="1851"/>
      <c r="K13" s="1851"/>
      <c r="L13" s="1851"/>
      <c r="M13" s="1851"/>
      <c r="N13" s="1851"/>
      <c r="O13" s="1851" t="s">
        <v>972</v>
      </c>
      <c r="P13" s="676" t="s">
        <v>86</v>
      </c>
      <c r="Q13" s="1851">
        <f>'먼지측정 사전 Data'!H20</f>
        <v>0</v>
      </c>
      <c r="R13" s="1851"/>
      <c r="S13" s="1851"/>
      <c r="T13" s="677" t="s">
        <v>138</v>
      </c>
      <c r="U13" s="677" t="s">
        <v>56</v>
      </c>
      <c r="V13" s="676" t="s">
        <v>86</v>
      </c>
      <c r="W13" s="1872">
        <f>'먼지측정 사전 Data'!O55</f>
        <v>0.87</v>
      </c>
      <c r="X13" s="1872"/>
      <c r="Y13" s="678" t="s">
        <v>138</v>
      </c>
      <c r="Z13" s="1873" t="s">
        <v>56</v>
      </c>
      <c r="AA13" s="1875">
        <v>22.4</v>
      </c>
      <c r="AB13" s="1875"/>
      <c r="AC13" s="1843" t="s">
        <v>972</v>
      </c>
      <c r="AD13" s="1863" t="s">
        <v>86</v>
      </c>
      <c r="AE13" s="1843">
        <f>'먼지측정 사전 Data'!H50</f>
        <v>0</v>
      </c>
      <c r="AF13" s="1843"/>
      <c r="AG13" s="1866" t="s">
        <v>138</v>
      </c>
      <c r="AH13" s="660"/>
      <c r="AI13" s="659"/>
      <c r="AJ13" s="659"/>
      <c r="AK13" s="659"/>
      <c r="AL13" s="659"/>
      <c r="AM13" s="660"/>
      <c r="AN13" s="660"/>
      <c r="AO13" s="660"/>
      <c r="AP13" s="660"/>
      <c r="AQ13" s="660"/>
      <c r="AR13" s="660"/>
      <c r="AS13" s="660"/>
      <c r="AT13" s="660"/>
      <c r="AU13" s="660"/>
      <c r="AV13" s="660"/>
      <c r="AW13" s="675"/>
    </row>
    <row r="14" spans="1:66" s="155" customFormat="1" ht="21.95" customHeight="1">
      <c r="A14" s="679"/>
      <c r="B14" s="680"/>
      <c r="C14" s="680"/>
      <c r="D14" s="1857"/>
      <c r="E14" s="1857"/>
      <c r="F14" s="1857"/>
      <c r="G14" s="1857"/>
      <c r="H14" s="1857"/>
      <c r="I14" s="1868" t="s">
        <v>208</v>
      </c>
      <c r="J14" s="1868"/>
      <c r="K14" s="1868"/>
      <c r="L14" s="1869">
        <f>'먼지측정 사전 Data'!H53</f>
        <v>0</v>
      </c>
      <c r="M14" s="1869"/>
      <c r="N14" s="681" t="s">
        <v>138</v>
      </c>
      <c r="O14" s="1857"/>
      <c r="P14" s="1870">
        <v>760</v>
      </c>
      <c r="Q14" s="1870"/>
      <c r="R14" s="1870"/>
      <c r="S14" s="1870"/>
      <c r="T14" s="1870"/>
      <c r="U14" s="1870"/>
      <c r="V14" s="1870"/>
      <c r="W14" s="1870"/>
      <c r="X14" s="1870"/>
      <c r="Y14" s="1870"/>
      <c r="Z14" s="1874"/>
      <c r="AA14" s="1871">
        <v>18</v>
      </c>
      <c r="AB14" s="1871"/>
      <c r="AC14" s="1865"/>
      <c r="AD14" s="1864"/>
      <c r="AE14" s="1865"/>
      <c r="AF14" s="1865"/>
      <c r="AG14" s="1867"/>
      <c r="AH14" s="660"/>
      <c r="AI14" s="659"/>
      <c r="AJ14" s="659"/>
      <c r="AK14" s="659"/>
      <c r="AL14" s="659"/>
      <c r="AM14" s="660"/>
      <c r="AN14" s="660"/>
      <c r="AO14" s="660"/>
      <c r="AP14" s="660"/>
      <c r="AQ14" s="660"/>
      <c r="AR14" s="660"/>
      <c r="AS14" s="660"/>
      <c r="AT14" s="660"/>
      <c r="AU14" s="660"/>
      <c r="AV14" s="660"/>
      <c r="AW14" s="675"/>
    </row>
    <row r="15" spans="1:66" s="155" customFormat="1" ht="21.95" customHeight="1">
      <c r="A15" s="1879" t="s">
        <v>973</v>
      </c>
      <c r="B15" s="1880"/>
      <c r="C15" s="1880"/>
      <c r="D15" s="1880"/>
      <c r="E15" s="1880"/>
      <c r="F15" s="1880"/>
      <c r="G15" s="1880"/>
      <c r="H15" s="1881" t="e">
        <f>ROUND(F16*273/(273+O17)*(U16+AA16)/760,3)</f>
        <v>#DIV/0!</v>
      </c>
      <c r="I15" s="1881"/>
      <c r="J15" s="1881"/>
      <c r="K15" s="1853" t="s">
        <v>860</v>
      </c>
      <c r="L15" s="1853"/>
      <c r="M15" s="1853"/>
      <c r="N15" s="682"/>
      <c r="O15" s="1843" t="s">
        <v>974</v>
      </c>
      <c r="P15" s="1843"/>
      <c r="Q15" s="1882" t="e">
        <f>ROUND('먼지측정 사전 Data'!R17,2)</f>
        <v>#DIV/0!</v>
      </c>
      <c r="R15" s="1882"/>
      <c r="S15" s="1882"/>
      <c r="T15" s="682"/>
      <c r="U15" s="668"/>
      <c r="V15" s="668"/>
      <c r="W15" s="668"/>
      <c r="X15" s="668"/>
      <c r="Y15" s="668"/>
      <c r="Z15" s="668"/>
      <c r="AA15" s="682"/>
      <c r="AB15" s="670"/>
      <c r="AC15" s="670"/>
      <c r="AD15" s="670"/>
      <c r="AE15" s="670"/>
      <c r="AF15" s="670"/>
      <c r="AG15" s="670"/>
      <c r="AH15" s="670"/>
      <c r="AI15" s="682"/>
      <c r="AJ15" s="682"/>
      <c r="AK15" s="682"/>
      <c r="AL15" s="682"/>
      <c r="AM15" s="670"/>
      <c r="AN15" s="670"/>
      <c r="AO15" s="670"/>
      <c r="AP15" s="670"/>
      <c r="AQ15" s="670"/>
      <c r="AR15" s="670"/>
      <c r="AS15" s="670"/>
      <c r="AT15" s="670"/>
      <c r="AU15" s="670"/>
      <c r="AV15" s="670"/>
      <c r="AW15" s="671"/>
    </row>
    <row r="16" spans="1:66" s="155" customFormat="1" ht="21.95" customHeight="1">
      <c r="A16" s="683"/>
      <c r="B16" s="1835" t="s">
        <v>75</v>
      </c>
      <c r="C16" s="1835"/>
      <c r="D16" s="1835" t="s">
        <v>1</v>
      </c>
      <c r="E16" s="1835" t="s">
        <v>86</v>
      </c>
      <c r="F16" s="1876" t="e">
        <f>Q15</f>
        <v>#DIV/0!</v>
      </c>
      <c r="G16" s="1876"/>
      <c r="H16" s="1835" t="s">
        <v>138</v>
      </c>
      <c r="I16" s="1835" t="s">
        <v>972</v>
      </c>
      <c r="J16" s="1865">
        <v>273</v>
      </c>
      <c r="K16" s="1865"/>
      <c r="L16" s="1865"/>
      <c r="M16" s="1865"/>
      <c r="N16" s="1865"/>
      <c r="O16" s="1865"/>
      <c r="P16" s="1865"/>
      <c r="Q16" s="1865"/>
      <c r="R16" s="1865"/>
      <c r="S16" s="1835" t="s">
        <v>972</v>
      </c>
      <c r="T16" s="664" t="s">
        <v>86</v>
      </c>
      <c r="U16" s="1835">
        <f>'먼지측정 사전 Data'!H20</f>
        <v>0</v>
      </c>
      <c r="V16" s="1835"/>
      <c r="W16" s="1835"/>
      <c r="X16" s="684" t="s">
        <v>138</v>
      </c>
      <c r="Y16" s="684" t="s">
        <v>56</v>
      </c>
      <c r="Z16" s="684" t="s">
        <v>86</v>
      </c>
      <c r="AA16" s="1876" t="e">
        <f>'먼지측정 사전 Data'!U71</f>
        <v>#DIV/0!</v>
      </c>
      <c r="AB16" s="1876"/>
      <c r="AC16" s="1876"/>
      <c r="AD16" s="664" t="s">
        <v>138</v>
      </c>
      <c r="AE16" s="660"/>
      <c r="AF16" s="660"/>
      <c r="AG16" s="660"/>
      <c r="AH16" s="660"/>
      <c r="AI16" s="660"/>
      <c r="AJ16" s="660"/>
      <c r="AK16" s="660"/>
      <c r="AL16" s="660"/>
      <c r="AM16" s="660"/>
      <c r="AN16" s="660"/>
      <c r="AO16" s="660"/>
      <c r="AP16" s="660"/>
      <c r="AQ16" s="660"/>
      <c r="AR16" s="660"/>
      <c r="AS16" s="660"/>
      <c r="AT16" s="660"/>
      <c r="AU16" s="660"/>
      <c r="AV16" s="660"/>
      <c r="AW16" s="675"/>
    </row>
    <row r="17" spans="1:52" s="255" customFormat="1" ht="21.95" customHeight="1">
      <c r="A17" s="685"/>
      <c r="B17" s="1865"/>
      <c r="C17" s="1865"/>
      <c r="D17" s="1865"/>
      <c r="E17" s="1865"/>
      <c r="F17" s="1883"/>
      <c r="G17" s="1883"/>
      <c r="H17" s="1865"/>
      <c r="I17" s="1865"/>
      <c r="J17" s="1877">
        <v>273</v>
      </c>
      <c r="K17" s="1877"/>
      <c r="L17" s="1877"/>
      <c r="M17" s="686" t="s">
        <v>56</v>
      </c>
      <c r="N17" s="686" t="s">
        <v>86</v>
      </c>
      <c r="O17" s="1884" t="e">
        <f>'먼지측정 사전 Data'!R69</f>
        <v>#DIV/0!</v>
      </c>
      <c r="P17" s="1884"/>
      <c r="Q17" s="1884"/>
      <c r="R17" s="687" t="s">
        <v>138</v>
      </c>
      <c r="S17" s="1865"/>
      <c r="T17" s="1878">
        <v>760</v>
      </c>
      <c r="U17" s="1878"/>
      <c r="V17" s="1878"/>
      <c r="W17" s="1878"/>
      <c r="X17" s="1878"/>
      <c r="Y17" s="1878"/>
      <c r="Z17" s="1878"/>
      <c r="AA17" s="1878"/>
      <c r="AB17" s="1878"/>
      <c r="AC17" s="1878"/>
      <c r="AD17" s="1878"/>
      <c r="AE17" s="688"/>
      <c r="AF17" s="688"/>
      <c r="AG17" s="688"/>
      <c r="AH17" s="688"/>
      <c r="AI17" s="688"/>
      <c r="AJ17" s="688"/>
      <c r="AK17" s="688"/>
      <c r="AL17" s="688"/>
      <c r="AM17" s="688"/>
      <c r="AN17" s="688"/>
      <c r="AO17" s="688"/>
      <c r="AP17" s="688"/>
      <c r="AQ17" s="688"/>
      <c r="AR17" s="688"/>
      <c r="AS17" s="688"/>
      <c r="AT17" s="688"/>
      <c r="AU17" s="688"/>
      <c r="AV17" s="688"/>
      <c r="AW17" s="689"/>
    </row>
    <row r="18" spans="1:52" s="255" customFormat="1" ht="21.95" customHeight="1">
      <c r="A18" s="1879" t="s">
        <v>975</v>
      </c>
      <c r="B18" s="1880"/>
      <c r="C18" s="1880"/>
      <c r="D18" s="1880"/>
      <c r="E18" s="1880"/>
      <c r="F18" s="1880"/>
      <c r="G18" s="1880"/>
      <c r="H18" s="1881" t="e">
        <f>ROUND(F19*SQRT(2*9.81*S19/P20),3)</f>
        <v>#DIV/0!</v>
      </c>
      <c r="I18" s="1881"/>
      <c r="J18" s="1881"/>
      <c r="K18" s="1853" t="s">
        <v>568</v>
      </c>
      <c r="L18" s="1853"/>
      <c r="M18" s="670"/>
      <c r="N18" s="670"/>
      <c r="O18" s="670"/>
      <c r="P18" s="670"/>
      <c r="Q18" s="670"/>
      <c r="R18" s="682"/>
      <c r="S18" s="682"/>
      <c r="T18" s="682"/>
      <c r="U18" s="670"/>
      <c r="V18" s="670"/>
      <c r="W18" s="690"/>
      <c r="X18" s="690"/>
      <c r="Y18" s="690"/>
      <c r="Z18" s="690"/>
      <c r="AA18" s="690"/>
      <c r="AB18" s="690"/>
      <c r="AC18" s="690"/>
      <c r="AD18" s="690"/>
      <c r="AE18" s="690"/>
      <c r="AF18" s="690"/>
      <c r="AG18" s="690"/>
      <c r="AH18" s="690"/>
      <c r="AI18" s="690"/>
      <c r="AJ18" s="690"/>
      <c r="AK18" s="690"/>
      <c r="AL18" s="690"/>
      <c r="AM18" s="690"/>
      <c r="AN18" s="690"/>
      <c r="AO18" s="690"/>
      <c r="AP18" s="690"/>
      <c r="AQ18" s="690"/>
      <c r="AR18" s="690"/>
      <c r="AS18" s="690"/>
      <c r="AT18" s="690"/>
      <c r="AU18" s="690"/>
      <c r="AV18" s="690"/>
      <c r="AW18" s="691"/>
    </row>
    <row r="19" spans="1:52" s="155" customFormat="1" ht="21.95" customHeight="1">
      <c r="A19" s="692"/>
      <c r="B19" s="1886" t="s">
        <v>939</v>
      </c>
      <c r="C19" s="1886"/>
      <c r="D19" s="1888" t="s">
        <v>1</v>
      </c>
      <c r="E19" s="1888" t="s">
        <v>86</v>
      </c>
      <c r="F19" s="1890">
        <f>'먼지측정 사전 Data'!H65</f>
        <v>0</v>
      </c>
      <c r="G19" s="1890"/>
      <c r="H19" s="1890"/>
      <c r="I19" s="1886" t="s">
        <v>138</v>
      </c>
      <c r="J19" s="1886" t="s">
        <v>972</v>
      </c>
      <c r="K19" s="659"/>
      <c r="L19" s="1892"/>
      <c r="M19" s="687">
        <v>2</v>
      </c>
      <c r="N19" s="687" t="s">
        <v>972</v>
      </c>
      <c r="O19" s="1878">
        <v>9.81</v>
      </c>
      <c r="P19" s="1878"/>
      <c r="Q19" s="687" t="s">
        <v>972</v>
      </c>
      <c r="R19" s="693" t="s">
        <v>86</v>
      </c>
      <c r="S19" s="1884" t="e">
        <f>'먼지측정 사전 Data'!R70</f>
        <v>#DIV/0!</v>
      </c>
      <c r="T19" s="1884"/>
      <c r="U19" s="1884"/>
      <c r="V19" s="694" t="s">
        <v>138</v>
      </c>
      <c r="W19" s="660"/>
      <c r="X19" s="660"/>
      <c r="Y19" s="660"/>
      <c r="Z19" s="660"/>
      <c r="AA19" s="660"/>
      <c r="AB19" s="660"/>
      <c r="AC19" s="660"/>
      <c r="AD19" s="660"/>
      <c r="AE19" s="660"/>
      <c r="AF19" s="660"/>
      <c r="AG19" s="660"/>
      <c r="AH19" s="660"/>
      <c r="AI19" s="660"/>
      <c r="AJ19" s="660"/>
      <c r="AK19" s="660"/>
      <c r="AL19" s="660"/>
      <c r="AM19" s="660"/>
      <c r="AN19" s="660"/>
      <c r="AO19" s="660"/>
      <c r="AP19" s="660"/>
      <c r="AQ19" s="660"/>
      <c r="AR19" s="660"/>
      <c r="AS19" s="660"/>
      <c r="AT19" s="660"/>
      <c r="AU19" s="660"/>
      <c r="AV19" s="660"/>
      <c r="AW19" s="675"/>
    </row>
    <row r="20" spans="1:52" s="155" customFormat="1" ht="21.95" customHeight="1">
      <c r="A20" s="692"/>
      <c r="B20" s="1887"/>
      <c r="C20" s="1887"/>
      <c r="D20" s="1889"/>
      <c r="E20" s="1889"/>
      <c r="F20" s="1891"/>
      <c r="G20" s="1891"/>
      <c r="H20" s="1891"/>
      <c r="I20" s="1887"/>
      <c r="J20" s="1887"/>
      <c r="K20" s="695"/>
      <c r="L20" s="1893"/>
      <c r="M20" s="659"/>
      <c r="N20" s="659"/>
      <c r="O20" s="663" t="s">
        <v>86</v>
      </c>
      <c r="P20" s="1835" t="e">
        <f>H15</f>
        <v>#DIV/0!</v>
      </c>
      <c r="Q20" s="1835"/>
      <c r="R20" s="1835"/>
      <c r="S20" s="1835"/>
      <c r="T20" s="661" t="s">
        <v>138</v>
      </c>
      <c r="U20" s="659"/>
      <c r="V20" s="659"/>
      <c r="W20" s="660"/>
      <c r="X20" s="660"/>
      <c r="Y20" s="660"/>
      <c r="Z20" s="660"/>
      <c r="AA20" s="660"/>
      <c r="AB20" s="660"/>
      <c r="AC20" s="660"/>
      <c r="AD20" s="660"/>
      <c r="AE20" s="660"/>
      <c r="AF20" s="660"/>
      <c r="AG20" s="660"/>
      <c r="AH20" s="660"/>
      <c r="AI20" s="660"/>
      <c r="AJ20" s="660"/>
      <c r="AK20" s="660"/>
      <c r="AL20" s="660"/>
      <c r="AM20" s="660"/>
      <c r="AN20" s="660"/>
      <c r="AO20" s="660"/>
      <c r="AP20" s="660"/>
      <c r="AQ20" s="660"/>
      <c r="AR20" s="660"/>
      <c r="AS20" s="660"/>
      <c r="AT20" s="660"/>
      <c r="AU20" s="660"/>
      <c r="AV20" s="660"/>
      <c r="AW20" s="675"/>
    </row>
    <row r="21" spans="1:52" s="155" customFormat="1" ht="21.95" customHeight="1">
      <c r="A21" s="1885" t="s">
        <v>976</v>
      </c>
      <c r="B21" s="1866"/>
      <c r="C21" s="1866"/>
      <c r="D21" s="1866"/>
      <c r="E21" s="1866"/>
      <c r="F21" s="1866"/>
      <c r="G21" s="1866"/>
      <c r="H21" s="1866"/>
      <c r="I21" s="1866"/>
      <c r="J21" s="1866"/>
      <c r="K21" s="1866"/>
      <c r="L21" s="1866"/>
      <c r="M21" s="1866"/>
      <c r="N21" s="1866"/>
      <c r="O21" s="1866"/>
      <c r="P21" s="1866"/>
      <c r="Q21" s="1860" t="str">
        <f>IF(COUNT('먼지측정 사전 Data'!H72)=0,"-",ROUND(F22*(O22/(100-Q23))*18/22.4,2))</f>
        <v>-</v>
      </c>
      <c r="R21" s="1860"/>
      <c r="S21" s="1860"/>
      <c r="T21" s="1860"/>
      <c r="U21" s="1866" t="s">
        <v>977</v>
      </c>
      <c r="V21" s="1866"/>
      <c r="W21" s="670"/>
      <c r="X21" s="670"/>
      <c r="Y21" s="670"/>
      <c r="Z21" s="670"/>
      <c r="AA21" s="670"/>
      <c r="AB21" s="670"/>
      <c r="AC21" s="670"/>
      <c r="AD21" s="670"/>
      <c r="AE21" s="670"/>
      <c r="AF21" s="670"/>
      <c r="AG21" s="670"/>
      <c r="AH21" s="670"/>
      <c r="AI21" s="670"/>
      <c r="AJ21" s="670"/>
      <c r="AK21" s="670"/>
      <c r="AL21" s="670"/>
      <c r="AM21" s="670"/>
      <c r="AN21" s="670"/>
      <c r="AO21" s="670"/>
      <c r="AP21" s="670"/>
      <c r="AQ21" s="670"/>
      <c r="AR21" s="670"/>
      <c r="AS21" s="670"/>
      <c r="AT21" s="670"/>
      <c r="AU21" s="670"/>
      <c r="AV21" s="670"/>
      <c r="AW21" s="671"/>
    </row>
    <row r="22" spans="1:52" s="534" customFormat="1" ht="21.95" customHeight="1">
      <c r="A22" s="692"/>
      <c r="B22" s="1835" t="s">
        <v>978</v>
      </c>
      <c r="C22" s="1835"/>
      <c r="D22" s="1835" t="s">
        <v>1</v>
      </c>
      <c r="E22" s="1835" t="s">
        <v>86</v>
      </c>
      <c r="F22" s="1876" t="str">
        <f>IF(COUNT('먼지측정 사전 Data'!H72)=0,"-",'먼지측정 사전 Data'!R80*1000)</f>
        <v>-</v>
      </c>
      <c r="G22" s="1876"/>
      <c r="H22" s="1876"/>
      <c r="I22" s="1835" t="s">
        <v>138</v>
      </c>
      <c r="J22" s="1835" t="s">
        <v>972</v>
      </c>
      <c r="K22" s="1835" t="s">
        <v>86</v>
      </c>
      <c r="L22" s="664"/>
      <c r="M22" s="664"/>
      <c r="N22" s="664" t="s">
        <v>86</v>
      </c>
      <c r="O22" s="1876" t="str">
        <f>IF(COUNT('먼지측정 사전 Data'!H72)=0,"-",F11)</f>
        <v>-</v>
      </c>
      <c r="P22" s="1876"/>
      <c r="Q22" s="1876"/>
      <c r="R22" s="664" t="s">
        <v>138</v>
      </c>
      <c r="S22" s="664"/>
      <c r="T22" s="664"/>
      <c r="U22" s="1835" t="s">
        <v>138</v>
      </c>
      <c r="V22" s="1835" t="s">
        <v>972</v>
      </c>
      <c r="W22" s="1835">
        <v>18</v>
      </c>
      <c r="X22" s="1835"/>
      <c r="Y22" s="1835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60"/>
      <c r="AW22" s="675"/>
    </row>
    <row r="23" spans="1:52" s="155" customFormat="1" ht="21.95" customHeight="1">
      <c r="A23" s="692"/>
      <c r="B23" s="1835"/>
      <c r="C23" s="1835"/>
      <c r="D23" s="1835"/>
      <c r="E23" s="1835"/>
      <c r="F23" s="1876"/>
      <c r="G23" s="1876"/>
      <c r="H23" s="1876"/>
      <c r="I23" s="1835"/>
      <c r="J23" s="1835"/>
      <c r="K23" s="1835"/>
      <c r="L23" s="1878">
        <v>100</v>
      </c>
      <c r="M23" s="1878"/>
      <c r="N23" s="1878"/>
      <c r="O23" s="687" t="s">
        <v>158</v>
      </c>
      <c r="P23" s="687" t="s">
        <v>86</v>
      </c>
      <c r="Q23" s="1878" t="str">
        <f>IF(COUNT('먼지측정 사전 Data'!H72)=0,"-",F11)</f>
        <v>-</v>
      </c>
      <c r="R23" s="1878"/>
      <c r="S23" s="1878"/>
      <c r="T23" s="687" t="s">
        <v>138</v>
      </c>
      <c r="U23" s="1835"/>
      <c r="V23" s="1835"/>
      <c r="W23" s="1878">
        <v>22.4</v>
      </c>
      <c r="X23" s="1878"/>
      <c r="Y23" s="1878"/>
      <c r="Z23" s="660"/>
      <c r="AA23" s="660"/>
      <c r="AB23" s="660"/>
      <c r="AC23" s="660"/>
      <c r="AD23" s="660"/>
      <c r="AE23" s="660"/>
      <c r="AF23" s="660"/>
      <c r="AG23" s="660"/>
      <c r="AH23" s="660"/>
      <c r="AI23" s="660"/>
      <c r="AJ23" s="660"/>
      <c r="AK23" s="660"/>
      <c r="AL23" s="660"/>
      <c r="AM23" s="660"/>
      <c r="AN23" s="660"/>
      <c r="AO23" s="660"/>
      <c r="AP23" s="660"/>
      <c r="AQ23" s="660"/>
      <c r="AR23" s="660"/>
      <c r="AS23" s="660"/>
      <c r="AT23" s="660"/>
      <c r="AU23" s="660"/>
      <c r="AV23" s="660"/>
      <c r="AW23" s="675"/>
    </row>
    <row r="24" spans="1:52" s="155" customFormat="1" ht="21.95" customHeight="1">
      <c r="A24" s="1894" t="s">
        <v>979</v>
      </c>
      <c r="B24" s="1895"/>
      <c r="C24" s="1895"/>
      <c r="D24" s="1895"/>
      <c r="E24" s="1895"/>
      <c r="F24" s="1895"/>
      <c r="G24" s="1895"/>
      <c r="H24" s="1895"/>
      <c r="I24" s="1895"/>
      <c r="J24" s="1895"/>
      <c r="K24" s="1895"/>
      <c r="L24" s="1895"/>
      <c r="M24" s="1863" t="str">
        <f>IF(COUNT('먼지측정 사전 Data'!H72)=0,"-",ROUND(F25*(0.00346*N25+S25/X25*(AC25+AH25/13.6))*(1.667*10^4)/(N26*S26*W26*AC26),1))</f>
        <v>-</v>
      </c>
      <c r="N24" s="1863"/>
      <c r="O24" s="1863"/>
      <c r="P24" s="1863"/>
      <c r="Q24" s="696" t="s">
        <v>41</v>
      </c>
      <c r="R24" s="670"/>
      <c r="S24" s="670"/>
      <c r="T24" s="670"/>
      <c r="U24" s="670"/>
      <c r="V24" s="670"/>
      <c r="W24" s="670"/>
      <c r="X24" s="670"/>
      <c r="Y24" s="697"/>
      <c r="Z24" s="697"/>
      <c r="AA24" s="697"/>
      <c r="AB24" s="697"/>
      <c r="AC24" s="697"/>
      <c r="AD24" s="697"/>
      <c r="AE24" s="697"/>
      <c r="AF24" s="697"/>
      <c r="AG24" s="697"/>
      <c r="AH24" s="697"/>
      <c r="AI24" s="697"/>
      <c r="AJ24" s="697"/>
      <c r="AK24" s="697"/>
      <c r="AL24" s="697"/>
      <c r="AM24" s="697"/>
      <c r="AN24" s="697"/>
      <c r="AO24" s="697"/>
      <c r="AP24" s="697"/>
      <c r="AQ24" s="697"/>
      <c r="AR24" s="697"/>
      <c r="AS24" s="697"/>
      <c r="AT24" s="697"/>
      <c r="AU24" s="697"/>
      <c r="AV24" s="697"/>
      <c r="AW24" s="671"/>
    </row>
    <row r="25" spans="1:52" s="155" customFormat="1" ht="21.95" customHeight="1">
      <c r="A25" s="692"/>
      <c r="B25" s="1835" t="s">
        <v>980</v>
      </c>
      <c r="C25" s="1835"/>
      <c r="D25" s="1835" t="s">
        <v>1</v>
      </c>
      <c r="E25" s="698" t="s">
        <v>86</v>
      </c>
      <c r="F25" s="1896" t="str">
        <f>IF(COUNT('먼지측정 사전 Data'!H72)=0,"-",ROUND(273+'먼지측정 사전 Data'!R69,2))</f>
        <v>-</v>
      </c>
      <c r="G25" s="1896"/>
      <c r="H25" s="1896"/>
      <c r="I25" s="686" t="s">
        <v>981</v>
      </c>
      <c r="J25" s="1897" t="s">
        <v>982</v>
      </c>
      <c r="K25" s="1897"/>
      <c r="L25" s="1897"/>
      <c r="M25" s="1897"/>
      <c r="N25" s="1865" t="str">
        <f>IF(COUNT('먼지측정 사전 Data'!H72)=0,"-",Q21)</f>
        <v>-</v>
      </c>
      <c r="O25" s="1865"/>
      <c r="P25" s="686" t="s">
        <v>138</v>
      </c>
      <c r="Q25" s="686" t="s">
        <v>56</v>
      </c>
      <c r="R25" s="686" t="s">
        <v>86</v>
      </c>
      <c r="S25" s="1897" t="str">
        <f>IF(COUNT('먼지측정 사전 Data'!H72)=0,"-",'먼지측정 사전 Data'!R80)</f>
        <v>-</v>
      </c>
      <c r="T25" s="1897"/>
      <c r="U25" s="1897"/>
      <c r="V25" s="1865" t="s">
        <v>983</v>
      </c>
      <c r="W25" s="1865"/>
      <c r="X25" s="1865" t="str">
        <f>IF(COUNT('먼지측정 사전 Data'!H72)=0,"-",ROUND(273+'먼지측정 사전 Data'!R74,2))</f>
        <v>-</v>
      </c>
      <c r="Y25" s="1865"/>
      <c r="Z25" s="1865"/>
      <c r="AA25" s="1865" t="s">
        <v>984</v>
      </c>
      <c r="AB25" s="1865"/>
      <c r="AC25" s="1865" t="str">
        <f>IF(COUNT('먼지측정 사전 Data'!H72)=0,"-",'먼지측정 사전 Data'!H20)</f>
        <v>-</v>
      </c>
      <c r="AD25" s="1865"/>
      <c r="AE25" s="1865"/>
      <c r="AF25" s="1865" t="s">
        <v>985</v>
      </c>
      <c r="AG25" s="1865"/>
      <c r="AH25" s="1865" t="str">
        <f>IF(COUNT('먼지측정 사전 Data'!H72)=0,"-",'먼지측정 사전 Data'!R86)</f>
        <v>-</v>
      </c>
      <c r="AI25" s="1865"/>
      <c r="AJ25" s="1865"/>
      <c r="AK25" s="686" t="s">
        <v>138</v>
      </c>
      <c r="AL25" s="686" t="s">
        <v>484</v>
      </c>
      <c r="AM25" s="1896">
        <v>13.6</v>
      </c>
      <c r="AN25" s="1896"/>
      <c r="AO25" s="699" t="s">
        <v>986</v>
      </c>
      <c r="AP25" s="1835" t="s">
        <v>972</v>
      </c>
      <c r="AQ25" s="1898" t="s">
        <v>987</v>
      </c>
      <c r="AR25" s="1898"/>
      <c r="AS25" s="1898"/>
      <c r="AT25" s="1835" t="s">
        <v>972</v>
      </c>
      <c r="AU25" s="1835" t="s">
        <v>988</v>
      </c>
      <c r="AV25" s="1835"/>
      <c r="AW25" s="700"/>
    </row>
    <row r="26" spans="1:52" s="155" customFormat="1" ht="21.95" customHeight="1">
      <c r="A26" s="701"/>
      <c r="B26" s="1865"/>
      <c r="C26" s="1865"/>
      <c r="D26" s="1865"/>
      <c r="E26" s="686"/>
      <c r="F26" s="686"/>
      <c r="G26" s="686"/>
      <c r="H26" s="686"/>
      <c r="I26" s="686"/>
      <c r="J26" s="686"/>
      <c r="K26" s="686"/>
      <c r="L26" s="686"/>
      <c r="M26" s="686" t="s">
        <v>86</v>
      </c>
      <c r="N26" s="1865" t="str">
        <f>IF(COUNT('먼지측정 사전 Data'!H72)=0,"-",ROUND('먼지측정 사전 Data'!U71+'먼지측정 사전 Data'!H20,2))</f>
        <v>-</v>
      </c>
      <c r="O26" s="1865"/>
      <c r="P26" s="1865"/>
      <c r="Q26" s="1865" t="s">
        <v>989</v>
      </c>
      <c r="R26" s="1865"/>
      <c r="S26" s="1865" t="str">
        <f>IF(COUNT('먼지측정 사전 Data'!H72)=0,"-",'먼지측정 사전 Data'!R75)</f>
        <v>-</v>
      </c>
      <c r="T26" s="1865"/>
      <c r="U26" s="1865" t="s">
        <v>989</v>
      </c>
      <c r="V26" s="1865"/>
      <c r="W26" s="1865" t="str">
        <f>IF(COUNT('먼지측정 사전 Data'!H72)=0,"-",'먼지측정 사전 Data'!R82)</f>
        <v>-</v>
      </c>
      <c r="X26" s="1865"/>
      <c r="Y26" s="1865"/>
      <c r="Z26" s="1865"/>
      <c r="AA26" s="1865" t="s">
        <v>989</v>
      </c>
      <c r="AB26" s="1865"/>
      <c r="AC26" s="1865" t="str">
        <f>IF(COUNT('먼지측정 사전 Data'!H72)=0,"-",'먼지측정 사전 Data'!U84)</f>
        <v>-</v>
      </c>
      <c r="AD26" s="1865"/>
      <c r="AE26" s="1865"/>
      <c r="AF26" s="686" t="s">
        <v>138</v>
      </c>
      <c r="AG26" s="686"/>
      <c r="AH26" s="686"/>
      <c r="AI26" s="686"/>
      <c r="AJ26" s="686"/>
      <c r="AK26" s="686"/>
      <c r="AL26" s="686"/>
      <c r="AM26" s="686"/>
      <c r="AN26" s="686"/>
      <c r="AO26" s="686"/>
      <c r="AP26" s="1865"/>
      <c r="AQ26" s="1899"/>
      <c r="AR26" s="1899"/>
      <c r="AS26" s="1899"/>
      <c r="AT26" s="1865"/>
      <c r="AU26" s="1865"/>
      <c r="AV26" s="1865"/>
      <c r="AW26" s="702"/>
    </row>
    <row r="27" spans="1:52" s="155" customFormat="1" ht="21.95" customHeight="1">
      <c r="A27" s="660"/>
      <c r="B27" s="660"/>
      <c r="C27" s="660"/>
      <c r="D27" s="660"/>
      <c r="E27" s="660"/>
      <c r="F27" s="660"/>
      <c r="G27" s="660"/>
      <c r="H27" s="660"/>
      <c r="I27" s="660"/>
      <c r="J27" s="660"/>
      <c r="K27" s="660"/>
      <c r="L27" s="660"/>
      <c r="M27" s="660"/>
      <c r="N27" s="660"/>
      <c r="O27" s="660"/>
      <c r="P27" s="660"/>
      <c r="Q27" s="660"/>
      <c r="R27" s="660"/>
      <c r="S27" s="660"/>
      <c r="T27" s="660"/>
      <c r="U27" s="660"/>
      <c r="V27" s="660"/>
      <c r="W27" s="660"/>
      <c r="X27" s="660"/>
      <c r="Y27" s="660"/>
      <c r="Z27" s="660"/>
      <c r="AA27" s="660"/>
      <c r="AB27" s="660"/>
      <c r="AC27" s="660"/>
      <c r="AD27" s="660"/>
      <c r="AE27" s="660"/>
      <c r="AF27" s="660"/>
      <c r="AG27" s="660"/>
      <c r="AH27" s="660"/>
      <c r="AI27" s="660"/>
      <c r="AJ27" s="660"/>
      <c r="AK27" s="660"/>
      <c r="AL27" s="660"/>
      <c r="AM27" s="660"/>
      <c r="AN27" s="660"/>
      <c r="AO27" s="660"/>
      <c r="AP27" s="660"/>
      <c r="AQ27" s="660"/>
      <c r="AR27" s="660"/>
      <c r="AS27" s="660"/>
      <c r="AT27" s="660"/>
      <c r="AU27" s="660"/>
      <c r="AV27" s="660"/>
      <c r="AW27" s="697"/>
      <c r="AX27" s="487"/>
      <c r="AY27" s="487"/>
      <c r="AZ27" s="487"/>
    </row>
    <row r="28" spans="1:52" s="155" customFormat="1" ht="21.95" customHeight="1">
      <c r="A28" s="659"/>
      <c r="B28" s="1838" t="s">
        <v>781</v>
      </c>
      <c r="C28" s="1838"/>
      <c r="D28" s="1838"/>
      <c r="E28" s="1838"/>
      <c r="F28" s="1838"/>
      <c r="G28" s="1838"/>
      <c r="H28" s="660"/>
      <c r="I28" s="660"/>
      <c r="J28" s="660"/>
      <c r="K28" s="660"/>
      <c r="L28" s="660"/>
      <c r="M28" s="660"/>
      <c r="N28" s="660"/>
      <c r="O28" s="660"/>
      <c r="P28" s="659"/>
      <c r="Q28" s="659"/>
      <c r="R28" s="659"/>
      <c r="S28" s="659"/>
      <c r="T28" s="659"/>
      <c r="U28" s="659"/>
      <c r="V28" s="659"/>
      <c r="W28" s="660"/>
      <c r="X28" s="660"/>
      <c r="Y28" s="660"/>
      <c r="Z28" s="660"/>
      <c r="AA28" s="660"/>
      <c r="AB28" s="660"/>
      <c r="AC28" s="660"/>
      <c r="AD28" s="660"/>
      <c r="AE28" s="660"/>
      <c r="AF28" s="660"/>
      <c r="AG28" s="660"/>
      <c r="AH28" s="660"/>
      <c r="AI28" s="660"/>
      <c r="AJ28" s="660"/>
      <c r="AK28" s="659"/>
      <c r="AL28" s="660"/>
      <c r="AM28" s="660"/>
      <c r="AN28" s="660"/>
      <c r="AO28" s="660"/>
      <c r="AP28" s="660"/>
      <c r="AQ28" s="660"/>
      <c r="AR28" s="660"/>
      <c r="AS28" s="660"/>
      <c r="AT28" s="660"/>
      <c r="AU28" s="660"/>
      <c r="AV28" s="660"/>
      <c r="AW28" s="660"/>
    </row>
    <row r="29" spans="1:52" s="155" customFormat="1" ht="21.95" customHeight="1">
      <c r="A29" s="1854" t="s">
        <v>990</v>
      </c>
      <c r="B29" s="1854"/>
      <c r="C29" s="1854"/>
      <c r="D29" s="1854"/>
      <c r="E29" s="1854"/>
      <c r="F29" s="1854"/>
      <c r="G29" s="672"/>
      <c r="H29" s="660"/>
      <c r="I29" s="1852">
        <v>22.4</v>
      </c>
      <c r="J29" s="1852"/>
      <c r="K29" s="1852" t="s">
        <v>972</v>
      </c>
      <c r="L29" s="1852" t="s">
        <v>991</v>
      </c>
      <c r="M29" s="1852"/>
      <c r="N29" s="1852" t="s">
        <v>972</v>
      </c>
      <c r="O29" s="1835">
        <v>100</v>
      </c>
      <c r="P29" s="1835"/>
      <c r="Q29" s="672"/>
      <c r="R29" s="672"/>
      <c r="S29" s="672"/>
      <c r="T29" s="660"/>
      <c r="U29" s="660"/>
      <c r="V29" s="660"/>
      <c r="W29" s="1900" t="s">
        <v>992</v>
      </c>
      <c r="X29" s="1900"/>
      <c r="Y29" s="1900"/>
      <c r="Z29" s="1900"/>
      <c r="AA29" s="1900"/>
      <c r="AB29" s="1900"/>
      <c r="AC29" s="1900"/>
      <c r="AD29" s="1900"/>
      <c r="AE29" s="1900"/>
      <c r="AF29" s="660"/>
      <c r="AG29" s="660"/>
      <c r="AH29" s="660"/>
      <c r="AI29" s="660"/>
      <c r="AJ29" s="660"/>
      <c r="AK29" s="660"/>
      <c r="AL29" s="1900" t="s">
        <v>993</v>
      </c>
      <c r="AM29" s="1900"/>
      <c r="AN29" s="1900"/>
      <c r="AO29" s="1900"/>
      <c r="AP29" s="1900"/>
      <c r="AQ29" s="1900"/>
      <c r="AR29" s="1900"/>
      <c r="AS29" s="1900"/>
      <c r="AT29" s="660"/>
      <c r="AU29" s="660"/>
      <c r="AV29" s="660"/>
      <c r="AW29" s="660"/>
    </row>
    <row r="30" spans="1:52" s="155" customFormat="1" ht="21.95" customHeight="1">
      <c r="A30" s="660"/>
      <c r="B30" s="1852" t="s">
        <v>200</v>
      </c>
      <c r="C30" s="1852"/>
      <c r="D30" s="1852" t="s">
        <v>201</v>
      </c>
      <c r="E30" s="672"/>
      <c r="F30" s="672"/>
      <c r="G30" s="672"/>
      <c r="H30" s="660"/>
      <c r="I30" s="1851">
        <v>18</v>
      </c>
      <c r="J30" s="1851"/>
      <c r="K30" s="1852"/>
      <c r="L30" s="1852"/>
      <c r="M30" s="1852"/>
      <c r="N30" s="1852"/>
      <c r="O30" s="1835"/>
      <c r="P30" s="1835"/>
      <c r="Q30" s="672"/>
      <c r="R30" s="672"/>
      <c r="S30" s="672"/>
      <c r="T30" s="660"/>
      <c r="U30" s="660"/>
      <c r="V30" s="660"/>
      <c r="W30" s="660"/>
      <c r="X30" s="1835" t="s">
        <v>75</v>
      </c>
      <c r="Y30" s="1835" t="s">
        <v>1</v>
      </c>
      <c r="Z30" s="1852" t="s">
        <v>861</v>
      </c>
      <c r="AA30" s="1835" t="s">
        <v>972</v>
      </c>
      <c r="AB30" s="1835">
        <v>273</v>
      </c>
      <c r="AC30" s="1835"/>
      <c r="AD30" s="1835"/>
      <c r="AE30" s="1835"/>
      <c r="AF30" s="1835" t="s">
        <v>972</v>
      </c>
      <c r="AG30" s="1852" t="s">
        <v>620</v>
      </c>
      <c r="AH30" s="1852"/>
      <c r="AI30" s="1852"/>
      <c r="AJ30" s="1852"/>
      <c r="AK30" s="660"/>
      <c r="AL30" s="660"/>
      <c r="AM30" s="1835" t="s">
        <v>939</v>
      </c>
      <c r="AN30" s="1838" t="s">
        <v>1</v>
      </c>
      <c r="AO30" s="663" t="s">
        <v>73</v>
      </c>
      <c r="AP30" s="1892"/>
      <c r="AQ30" s="693" t="s">
        <v>86</v>
      </c>
      <c r="AR30" s="1878" t="s">
        <v>74</v>
      </c>
      <c r="AS30" s="1878"/>
      <c r="AT30" s="694" t="s">
        <v>138</v>
      </c>
      <c r="AU30" s="660"/>
      <c r="AV30" s="660"/>
      <c r="AW30" s="660"/>
    </row>
    <row r="31" spans="1:52" s="155" customFormat="1" ht="21.95" customHeight="1">
      <c r="A31" s="660"/>
      <c r="B31" s="1852"/>
      <c r="C31" s="1852"/>
      <c r="D31" s="1852"/>
      <c r="E31" s="1851" t="s">
        <v>994</v>
      </c>
      <c r="F31" s="1851"/>
      <c r="G31" s="1851" t="s">
        <v>972</v>
      </c>
      <c r="H31" s="1851">
        <v>273</v>
      </c>
      <c r="I31" s="1851"/>
      <c r="J31" s="1851"/>
      <c r="K31" s="1851" t="s">
        <v>972</v>
      </c>
      <c r="L31" s="1851" t="s">
        <v>203</v>
      </c>
      <c r="M31" s="1851"/>
      <c r="N31" s="1851"/>
      <c r="O31" s="1851"/>
      <c r="P31" s="1843" t="s">
        <v>56</v>
      </c>
      <c r="Q31" s="1851">
        <v>22.4</v>
      </c>
      <c r="R31" s="1851"/>
      <c r="S31" s="1851" t="s">
        <v>972</v>
      </c>
      <c r="T31" s="1851" t="s">
        <v>195</v>
      </c>
      <c r="U31" s="1851"/>
      <c r="V31" s="660"/>
      <c r="W31" s="660"/>
      <c r="X31" s="1835"/>
      <c r="Y31" s="1835"/>
      <c r="Z31" s="1852"/>
      <c r="AA31" s="1835"/>
      <c r="AB31" s="1843" t="s">
        <v>995</v>
      </c>
      <c r="AC31" s="1843"/>
      <c r="AD31" s="1843"/>
      <c r="AE31" s="1843"/>
      <c r="AF31" s="1835"/>
      <c r="AG31" s="1843">
        <v>760</v>
      </c>
      <c r="AH31" s="1843"/>
      <c r="AI31" s="1843"/>
      <c r="AJ31" s="1843"/>
      <c r="AK31" s="660"/>
      <c r="AL31" s="660"/>
      <c r="AM31" s="1835"/>
      <c r="AN31" s="1838"/>
      <c r="AO31" s="703"/>
      <c r="AP31" s="1892"/>
      <c r="AQ31" s="659"/>
      <c r="AR31" s="1835" t="s">
        <v>75</v>
      </c>
      <c r="AS31" s="1835"/>
      <c r="AT31" s="659"/>
      <c r="AU31" s="660"/>
      <c r="AV31" s="660"/>
      <c r="AW31" s="660"/>
    </row>
    <row r="32" spans="1:52" s="155" customFormat="1" ht="18" customHeight="1">
      <c r="A32" s="680"/>
      <c r="B32" s="660"/>
      <c r="C32" s="680"/>
      <c r="D32" s="660"/>
      <c r="E32" s="1852"/>
      <c r="F32" s="1852"/>
      <c r="G32" s="1852"/>
      <c r="H32" s="1851" t="s">
        <v>207</v>
      </c>
      <c r="I32" s="1851"/>
      <c r="J32" s="1851"/>
      <c r="K32" s="1852"/>
      <c r="L32" s="1851">
        <v>760</v>
      </c>
      <c r="M32" s="1851"/>
      <c r="N32" s="1851"/>
      <c r="O32" s="1851"/>
      <c r="P32" s="1835"/>
      <c r="Q32" s="1851">
        <v>18</v>
      </c>
      <c r="R32" s="1851"/>
      <c r="S32" s="1852"/>
      <c r="T32" s="1852"/>
      <c r="U32" s="1852"/>
      <c r="V32" s="660"/>
      <c r="W32" s="660"/>
      <c r="X32" s="660"/>
      <c r="Y32" s="660"/>
      <c r="Z32" s="660"/>
      <c r="AA32" s="660"/>
      <c r="AB32" s="660"/>
      <c r="AC32" s="660"/>
      <c r="AD32" s="660"/>
      <c r="AE32" s="660"/>
      <c r="AF32" s="660"/>
      <c r="AG32" s="660"/>
      <c r="AH32" s="660"/>
      <c r="AI32" s="660"/>
      <c r="AJ32" s="660"/>
      <c r="AK32" s="660"/>
      <c r="AL32" s="660"/>
      <c r="AM32" s="660"/>
      <c r="AN32" s="660"/>
      <c r="AO32" s="660"/>
      <c r="AP32" s="660"/>
      <c r="AQ32" s="660"/>
      <c r="AR32" s="660"/>
      <c r="AS32" s="660"/>
      <c r="AT32" s="660"/>
      <c r="AU32" s="660"/>
      <c r="AV32" s="660"/>
      <c r="AW32" s="660"/>
    </row>
    <row r="33" spans="1:50" s="155" customFormat="1" ht="18" customHeight="1">
      <c r="A33" s="1900" t="s">
        <v>996</v>
      </c>
      <c r="B33" s="1900"/>
      <c r="C33" s="1900"/>
      <c r="D33" s="1900"/>
      <c r="E33" s="1900"/>
      <c r="F33" s="1900"/>
      <c r="G33" s="1900"/>
      <c r="H33" s="1900"/>
      <c r="I33" s="1900"/>
      <c r="J33" s="1900"/>
      <c r="K33" s="1900"/>
      <c r="L33" s="1900"/>
      <c r="M33" s="1900"/>
      <c r="N33" s="1900"/>
      <c r="O33" s="1900"/>
      <c r="P33" s="1900"/>
      <c r="Q33" s="1900"/>
      <c r="R33" s="1900"/>
      <c r="S33" s="672"/>
      <c r="T33" s="1838" t="s">
        <v>997</v>
      </c>
      <c r="U33" s="1838"/>
      <c r="V33" s="1838"/>
      <c r="W33" s="1838"/>
      <c r="X33" s="1838"/>
      <c r="Y33" s="1838"/>
      <c r="Z33" s="1838"/>
      <c r="AA33" s="1838"/>
      <c r="AB33" s="1838"/>
      <c r="AC33" s="1838"/>
      <c r="AD33" s="1838"/>
      <c r="AE33" s="1838"/>
      <c r="AF33" s="1838"/>
      <c r="AG33" s="660"/>
      <c r="AH33" s="660"/>
      <c r="AI33" s="660"/>
      <c r="AJ33" s="660"/>
      <c r="AK33" s="660"/>
      <c r="AL33" s="660"/>
      <c r="AM33" s="660"/>
      <c r="AN33" s="660"/>
      <c r="AO33" s="660"/>
      <c r="AP33" s="660"/>
      <c r="AQ33" s="660"/>
      <c r="AR33" s="660"/>
      <c r="AS33" s="660"/>
      <c r="AT33" s="660"/>
      <c r="AU33" s="660"/>
      <c r="AV33" s="660"/>
      <c r="AW33" s="660"/>
    </row>
    <row r="34" spans="1:50" s="155" customFormat="1" ht="18" customHeight="1">
      <c r="A34" s="660"/>
      <c r="B34" s="1835" t="s">
        <v>978</v>
      </c>
      <c r="C34" s="1835"/>
      <c r="D34" s="1835" t="s">
        <v>1</v>
      </c>
      <c r="E34" s="1835" t="s">
        <v>998</v>
      </c>
      <c r="F34" s="1835"/>
      <c r="G34" s="1835" t="s">
        <v>999</v>
      </c>
      <c r="H34" s="1835"/>
      <c r="I34" s="1835" t="s">
        <v>136</v>
      </c>
      <c r="J34" s="1835"/>
      <c r="K34" s="1835"/>
      <c r="L34" s="1835"/>
      <c r="M34" s="1835" t="s">
        <v>1000</v>
      </c>
      <c r="N34" s="1835"/>
      <c r="O34" s="1835">
        <v>18</v>
      </c>
      <c r="P34" s="1835"/>
      <c r="Q34" s="660"/>
      <c r="R34" s="660"/>
      <c r="S34" s="660"/>
      <c r="T34" s="660"/>
      <c r="U34" s="1852" t="s">
        <v>980</v>
      </c>
      <c r="V34" s="1852"/>
      <c r="W34" s="1852" t="s">
        <v>1</v>
      </c>
      <c r="X34" s="1835" t="s">
        <v>1001</v>
      </c>
      <c r="Y34" s="1835"/>
      <c r="Z34" s="1835"/>
      <c r="AA34" s="1835"/>
      <c r="AB34" s="1835"/>
      <c r="AC34" s="1835"/>
      <c r="AD34" s="1835"/>
      <c r="AE34" s="1835"/>
      <c r="AF34" s="1835"/>
      <c r="AG34" s="1835"/>
      <c r="AH34" s="1835"/>
      <c r="AI34" s="1835"/>
      <c r="AJ34" s="1835"/>
      <c r="AK34" s="1835"/>
      <c r="AL34" s="1835"/>
      <c r="AM34" s="1835" t="s">
        <v>972</v>
      </c>
      <c r="AN34" s="1904" t="s">
        <v>86</v>
      </c>
      <c r="AO34" s="1898" t="s">
        <v>1002</v>
      </c>
      <c r="AP34" s="1898"/>
      <c r="AQ34" s="1898"/>
      <c r="AR34" s="1898"/>
      <c r="AS34" s="1898"/>
      <c r="AT34" s="1838" t="s">
        <v>138</v>
      </c>
      <c r="AU34" s="660"/>
      <c r="AV34" s="660"/>
      <c r="AW34" s="660"/>
    </row>
    <row r="35" spans="1:50" s="155" customFormat="1" ht="18" customHeight="1">
      <c r="A35" s="660"/>
      <c r="B35" s="1835"/>
      <c r="C35" s="1835"/>
      <c r="D35" s="1835"/>
      <c r="E35" s="1835"/>
      <c r="F35" s="1835"/>
      <c r="G35" s="1835"/>
      <c r="H35" s="1835"/>
      <c r="I35" s="1843" t="s">
        <v>1003</v>
      </c>
      <c r="J35" s="1843"/>
      <c r="K35" s="1843"/>
      <c r="L35" s="1843"/>
      <c r="M35" s="1835"/>
      <c r="N35" s="1835"/>
      <c r="O35" s="1903">
        <v>22.4</v>
      </c>
      <c r="P35" s="1903"/>
      <c r="Q35" s="660"/>
      <c r="R35" s="660"/>
      <c r="S35" s="660"/>
      <c r="T35" s="660"/>
      <c r="U35" s="1852"/>
      <c r="V35" s="1852"/>
      <c r="W35" s="1852"/>
      <c r="X35" s="1862" t="s">
        <v>621</v>
      </c>
      <c r="Y35" s="1862"/>
      <c r="Z35" s="1862"/>
      <c r="AA35" s="1862"/>
      <c r="AB35" s="1862"/>
      <c r="AC35" s="1862"/>
      <c r="AD35" s="1862"/>
      <c r="AE35" s="1862"/>
      <c r="AF35" s="1862"/>
      <c r="AG35" s="1862"/>
      <c r="AH35" s="1862"/>
      <c r="AI35" s="1862"/>
      <c r="AJ35" s="1862"/>
      <c r="AK35" s="1862"/>
      <c r="AL35" s="1862"/>
      <c r="AM35" s="1835"/>
      <c r="AN35" s="1904"/>
      <c r="AO35" s="1898"/>
      <c r="AP35" s="1898"/>
      <c r="AQ35" s="1898"/>
      <c r="AR35" s="1898"/>
      <c r="AS35" s="1898"/>
      <c r="AT35" s="1838"/>
      <c r="AU35" s="660"/>
      <c r="AV35" s="660"/>
      <c r="AW35" s="660"/>
    </row>
    <row r="36" spans="1:50" s="155" customFormat="1" ht="18" customHeight="1">
      <c r="A36" s="660"/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0"/>
      <c r="AB36" s="660"/>
      <c r="AC36" s="660"/>
      <c r="AD36" s="660"/>
      <c r="AE36" s="660"/>
      <c r="AF36" s="660"/>
      <c r="AG36" s="660"/>
      <c r="AH36" s="660"/>
      <c r="AI36" s="660"/>
      <c r="AJ36" s="660"/>
      <c r="AK36" s="660"/>
      <c r="AL36" s="660"/>
      <c r="AM36" s="660"/>
      <c r="AN36" s="660"/>
      <c r="AO36" s="660"/>
      <c r="AP36" s="660"/>
      <c r="AQ36" s="660"/>
      <c r="AR36" s="660"/>
      <c r="AS36" s="660"/>
      <c r="AT36" s="660"/>
      <c r="AU36" s="660"/>
      <c r="AV36" s="660"/>
      <c r="AW36" s="660"/>
    </row>
    <row r="37" spans="1:50" s="155" customFormat="1" ht="18" customHeight="1">
      <c r="A37" s="1902" t="s">
        <v>267</v>
      </c>
      <c r="B37" s="1902"/>
      <c r="C37" s="1901" t="s">
        <v>1004</v>
      </c>
      <c r="D37" s="1901"/>
      <c r="E37" s="1901"/>
      <c r="F37" s="1901"/>
      <c r="G37" s="1901"/>
      <c r="H37" s="1901"/>
      <c r="I37" s="1901"/>
      <c r="J37" s="1901"/>
      <c r="K37" s="1901"/>
      <c r="L37" s="1901"/>
      <c r="M37" s="1901"/>
      <c r="N37" s="1901"/>
      <c r="O37" s="1901"/>
      <c r="P37" s="1901"/>
      <c r="Q37" s="672"/>
      <c r="R37" s="1902" t="s">
        <v>245</v>
      </c>
      <c r="S37" s="1902"/>
      <c r="T37" s="1901" t="s">
        <v>1005</v>
      </c>
      <c r="U37" s="1901"/>
      <c r="V37" s="1901"/>
      <c r="W37" s="1901"/>
      <c r="X37" s="1901"/>
      <c r="Y37" s="1901"/>
      <c r="Z37" s="1901"/>
      <c r="AA37" s="1901"/>
      <c r="AB37" s="1901"/>
      <c r="AC37" s="1901"/>
      <c r="AD37" s="1901"/>
      <c r="AE37" s="660"/>
      <c r="AF37" s="1902" t="s">
        <v>247</v>
      </c>
      <c r="AG37" s="1902"/>
      <c r="AH37" s="1901" t="s">
        <v>1006</v>
      </c>
      <c r="AI37" s="1901"/>
      <c r="AJ37" s="1901"/>
      <c r="AK37" s="1901"/>
      <c r="AL37" s="1901"/>
      <c r="AM37" s="1901"/>
      <c r="AN37" s="1901"/>
      <c r="AO37" s="1901"/>
      <c r="AP37" s="1901"/>
      <c r="AQ37" s="1901"/>
      <c r="AR37" s="1901"/>
      <c r="AS37" s="1901"/>
      <c r="AT37" s="1901"/>
      <c r="AU37" s="1901"/>
      <c r="AV37" s="1901"/>
      <c r="AW37" s="1901"/>
    </row>
    <row r="38" spans="1:50" s="155" customFormat="1" ht="18" customHeight="1">
      <c r="A38" s="1902" t="s">
        <v>249</v>
      </c>
      <c r="B38" s="1902"/>
      <c r="C38" s="1901" t="s">
        <v>250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N38" s="1901"/>
      <c r="O38" s="672"/>
      <c r="P38" s="1902" t="s">
        <v>251</v>
      </c>
      <c r="Q38" s="1902"/>
      <c r="R38" s="1901" t="s">
        <v>252</v>
      </c>
      <c r="S38" s="1901"/>
      <c r="T38" s="1901"/>
      <c r="U38" s="1901"/>
      <c r="V38" s="1901"/>
      <c r="W38" s="1901"/>
      <c r="X38" s="1901"/>
      <c r="Y38" s="1901"/>
      <c r="Z38" s="1901"/>
      <c r="AA38" s="1901"/>
      <c r="AB38" s="1901"/>
      <c r="AC38" s="660"/>
      <c r="AD38" s="1902" t="s">
        <v>253</v>
      </c>
      <c r="AE38" s="1902"/>
      <c r="AF38" s="1901" t="s">
        <v>254</v>
      </c>
      <c r="AG38" s="1901"/>
      <c r="AH38" s="1901"/>
      <c r="AI38" s="1901"/>
      <c r="AJ38" s="1901"/>
      <c r="AK38" s="1901"/>
      <c r="AL38" s="1901"/>
      <c r="AM38" s="1901"/>
      <c r="AN38" s="1901"/>
      <c r="AO38" s="1901"/>
      <c r="AP38" s="1901"/>
      <c r="AQ38" s="1901"/>
      <c r="AR38" s="1901"/>
      <c r="AS38" s="1901"/>
      <c r="AT38" s="1901"/>
      <c r="AU38" s="660"/>
      <c r="AV38" s="660"/>
      <c r="AW38" s="660"/>
    </row>
    <row r="39" spans="1:50" s="155" customFormat="1" ht="18" customHeight="1">
      <c r="A39" s="660"/>
      <c r="B39" s="660"/>
      <c r="C39" s="660"/>
      <c r="D39" s="660"/>
      <c r="E39" s="660"/>
      <c r="F39" s="660"/>
      <c r="G39" s="660"/>
      <c r="H39" s="660"/>
      <c r="I39" s="660"/>
      <c r="J39" s="660"/>
      <c r="K39" s="660"/>
      <c r="L39" s="660"/>
      <c r="M39" s="660"/>
      <c r="N39" s="660"/>
      <c r="O39" s="660"/>
      <c r="P39" s="660"/>
      <c r="Q39" s="660"/>
      <c r="R39" s="660"/>
      <c r="S39" s="660"/>
      <c r="T39" s="660"/>
      <c r="U39" s="660"/>
      <c r="V39" s="660"/>
      <c r="W39" s="660"/>
      <c r="X39" s="660"/>
      <c r="Y39" s="660"/>
      <c r="Z39" s="660"/>
      <c r="AA39" s="660"/>
      <c r="AB39" s="660"/>
      <c r="AC39" s="660"/>
      <c r="AD39" s="660"/>
      <c r="AE39" s="660"/>
      <c r="AF39" s="660"/>
      <c r="AG39" s="660"/>
      <c r="AH39" s="660"/>
      <c r="AI39" s="660"/>
      <c r="AJ39" s="660"/>
      <c r="AK39" s="660"/>
      <c r="AL39" s="660"/>
      <c r="AM39" s="660"/>
      <c r="AN39" s="660"/>
      <c r="AO39" s="660"/>
      <c r="AP39" s="660"/>
      <c r="AQ39" s="660"/>
      <c r="AR39" s="660"/>
      <c r="AS39" s="660"/>
      <c r="AT39" s="660"/>
      <c r="AU39" s="660"/>
      <c r="AV39" s="660"/>
      <c r="AW39" s="660"/>
    </row>
    <row r="40" spans="1:50" s="155" customFormat="1" ht="18" customHeight="1">
      <c r="A40" s="1902" t="s">
        <v>864</v>
      </c>
      <c r="B40" s="1902"/>
      <c r="C40" s="1901" t="s">
        <v>1007</v>
      </c>
      <c r="D40" s="1901"/>
      <c r="E40" s="1901"/>
      <c r="F40" s="1901"/>
      <c r="G40" s="1901"/>
      <c r="H40" s="1901"/>
      <c r="I40" s="1901"/>
      <c r="J40" s="1901"/>
      <c r="K40" s="1901"/>
      <c r="L40" s="1901"/>
      <c r="M40" s="1901"/>
      <c r="N40" s="1901"/>
      <c r="O40" s="1901"/>
      <c r="P40" s="1901"/>
      <c r="Q40" s="1901"/>
      <c r="R40" s="1901"/>
      <c r="S40" s="1901"/>
      <c r="T40" s="660"/>
      <c r="U40" s="1902" t="s">
        <v>251</v>
      </c>
      <c r="V40" s="1902"/>
      <c r="W40" s="672" t="s">
        <v>255</v>
      </c>
      <c r="X40" s="660"/>
      <c r="Y40" s="660"/>
      <c r="Z40" s="660"/>
      <c r="AA40" s="660"/>
      <c r="AB40" s="660"/>
      <c r="AC40" s="704"/>
      <c r="AD40" s="1902" t="s">
        <v>279</v>
      </c>
      <c r="AE40" s="1902"/>
      <c r="AF40" s="1901" t="s">
        <v>259</v>
      </c>
      <c r="AG40" s="1901"/>
      <c r="AH40" s="1901"/>
      <c r="AI40" s="1901"/>
      <c r="AJ40" s="1901"/>
      <c r="AK40" s="1901"/>
      <c r="AL40" s="1901"/>
      <c r="AM40" s="1901"/>
      <c r="AN40" s="1901"/>
      <c r="AO40" s="1901"/>
      <c r="AP40" s="1901"/>
      <c r="AQ40" s="1901"/>
      <c r="AR40" s="1901"/>
      <c r="AS40" s="1901"/>
      <c r="AT40" s="1901"/>
      <c r="AU40" s="1901"/>
      <c r="AV40" s="1901"/>
      <c r="AW40" s="660"/>
    </row>
    <row r="41" spans="1:50" s="155" customFormat="1" ht="18" customHeight="1">
      <c r="A41" s="1902" t="s">
        <v>260</v>
      </c>
      <c r="B41" s="1902"/>
      <c r="C41" s="672" t="s">
        <v>261</v>
      </c>
      <c r="D41" s="660"/>
      <c r="E41" s="660"/>
      <c r="F41" s="660"/>
      <c r="G41" s="660"/>
      <c r="H41" s="660"/>
      <c r="I41" s="660"/>
      <c r="J41" s="660"/>
      <c r="K41" s="660"/>
      <c r="L41" s="660"/>
      <c r="M41" s="660"/>
      <c r="N41" s="660"/>
      <c r="O41" s="660"/>
      <c r="P41" s="660"/>
      <c r="Q41" s="660"/>
      <c r="R41" s="660"/>
      <c r="S41" s="660"/>
      <c r="T41" s="660"/>
      <c r="U41" s="660"/>
      <c r="V41" s="660"/>
      <c r="W41" s="660"/>
      <c r="X41" s="660"/>
      <c r="Y41" s="660"/>
      <c r="Z41" s="660"/>
      <c r="AA41" s="660"/>
      <c r="AB41" s="660"/>
      <c r="AC41" s="660"/>
      <c r="AD41" s="660"/>
      <c r="AE41" s="660"/>
      <c r="AF41" s="672"/>
      <c r="AG41" s="672"/>
      <c r="AH41" s="672"/>
      <c r="AI41" s="672"/>
      <c r="AJ41" s="660"/>
      <c r="AK41" s="660"/>
      <c r="AL41" s="660"/>
      <c r="AM41" s="660"/>
      <c r="AN41" s="672"/>
      <c r="AO41" s="672"/>
      <c r="AP41" s="660"/>
      <c r="AQ41" s="660"/>
      <c r="AR41" s="660"/>
      <c r="AS41" s="660"/>
      <c r="AT41" s="660"/>
      <c r="AU41" s="660"/>
      <c r="AV41" s="660"/>
      <c r="AW41" s="660"/>
      <c r="AX41" s="441"/>
    </row>
    <row r="42" spans="1:50" s="155" customFormat="1" ht="18" customHeight="1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0"/>
      <c r="P42" s="660"/>
      <c r="Q42" s="660"/>
      <c r="R42" s="660"/>
      <c r="S42" s="660"/>
      <c r="T42" s="660"/>
      <c r="U42" s="660"/>
      <c r="V42" s="660"/>
      <c r="W42" s="660"/>
      <c r="X42" s="660"/>
      <c r="Y42" s="660"/>
      <c r="Z42" s="660"/>
      <c r="AA42" s="660"/>
      <c r="AB42" s="660"/>
      <c r="AC42" s="660"/>
      <c r="AD42" s="660"/>
      <c r="AE42" s="660"/>
      <c r="AF42" s="660"/>
      <c r="AG42" s="660"/>
      <c r="AH42" s="660"/>
      <c r="AI42" s="660"/>
      <c r="AJ42" s="660"/>
      <c r="AK42" s="660"/>
      <c r="AL42" s="660"/>
      <c r="AM42" s="660"/>
      <c r="AN42" s="660"/>
      <c r="AO42" s="660"/>
      <c r="AP42" s="660"/>
      <c r="AQ42" s="660"/>
      <c r="AR42" s="660"/>
      <c r="AS42" s="660"/>
      <c r="AT42" s="660"/>
      <c r="AU42" s="660"/>
      <c r="AV42" s="660"/>
      <c r="AW42" s="660"/>
    </row>
    <row r="43" spans="1:50" s="155" customFormat="1" ht="18" customHeight="1">
      <c r="A43" s="1902" t="s">
        <v>803</v>
      </c>
      <c r="B43" s="1902"/>
      <c r="C43" s="672" t="s">
        <v>257</v>
      </c>
      <c r="D43" s="660"/>
      <c r="E43" s="660"/>
      <c r="F43" s="660"/>
      <c r="G43" s="660"/>
      <c r="H43" s="660"/>
      <c r="I43" s="1902" t="s">
        <v>262</v>
      </c>
      <c r="J43" s="1902"/>
      <c r="K43" s="1901" t="s">
        <v>1008</v>
      </c>
      <c r="L43" s="1901"/>
      <c r="M43" s="1901"/>
      <c r="N43" s="1901"/>
      <c r="O43" s="1901"/>
      <c r="P43" s="1901"/>
      <c r="Q43" s="1901"/>
      <c r="R43" s="1901"/>
      <c r="S43" s="1901"/>
      <c r="T43" s="1902" t="s">
        <v>263</v>
      </c>
      <c r="U43" s="1902"/>
      <c r="V43" s="1901" t="s">
        <v>867</v>
      </c>
      <c r="W43" s="1901"/>
      <c r="X43" s="1901"/>
      <c r="Y43" s="1901"/>
      <c r="Z43" s="1901"/>
      <c r="AA43" s="1901"/>
      <c r="AB43" s="1901"/>
      <c r="AC43" s="1901"/>
      <c r="AD43" s="1901"/>
      <c r="AE43" s="1901"/>
      <c r="AF43" s="1901"/>
      <c r="AG43" s="1901"/>
      <c r="AH43" s="1901"/>
      <c r="AI43" s="1901"/>
      <c r="AJ43" s="1902" t="s">
        <v>264</v>
      </c>
      <c r="AK43" s="1902"/>
      <c r="AL43" s="1901" t="s">
        <v>1009</v>
      </c>
      <c r="AM43" s="1901"/>
      <c r="AN43" s="1901"/>
      <c r="AO43" s="1901"/>
      <c r="AP43" s="1901"/>
      <c r="AQ43" s="1901"/>
      <c r="AR43" s="1901"/>
      <c r="AS43" s="1901"/>
      <c r="AT43" s="1901"/>
      <c r="AU43" s="1901"/>
      <c r="AV43" s="1901"/>
      <c r="AW43" s="1901"/>
    </row>
    <row r="44" spans="1:50" s="155" customFormat="1" ht="18" customHeight="1">
      <c r="A44" s="660"/>
      <c r="B44" s="660"/>
      <c r="C44" s="660"/>
      <c r="D44" s="660"/>
      <c r="E44" s="660"/>
      <c r="F44" s="660"/>
      <c r="G44" s="660"/>
      <c r="H44" s="660"/>
      <c r="I44" s="660"/>
      <c r="J44" s="660"/>
      <c r="K44" s="660"/>
      <c r="L44" s="660"/>
      <c r="M44" s="660"/>
      <c r="N44" s="660"/>
      <c r="O44" s="660"/>
      <c r="P44" s="660"/>
      <c r="Q44" s="660"/>
      <c r="R44" s="660"/>
      <c r="S44" s="660"/>
      <c r="T44" s="660"/>
      <c r="U44" s="660"/>
      <c r="V44" s="660"/>
      <c r="W44" s="660"/>
      <c r="X44" s="660"/>
      <c r="Y44" s="660"/>
      <c r="Z44" s="660"/>
      <c r="AA44" s="660"/>
      <c r="AB44" s="660"/>
      <c r="AC44" s="660"/>
      <c r="AD44" s="660"/>
      <c r="AE44" s="660"/>
      <c r="AF44" s="660"/>
      <c r="AG44" s="660"/>
      <c r="AH44" s="660"/>
      <c r="AI44" s="660"/>
      <c r="AJ44" s="660"/>
      <c r="AK44" s="660"/>
      <c r="AL44" s="660"/>
      <c r="AM44" s="660"/>
      <c r="AN44" s="660"/>
      <c r="AO44" s="660"/>
      <c r="AP44" s="660"/>
      <c r="AQ44" s="660"/>
      <c r="AR44" s="660"/>
      <c r="AS44" s="660"/>
      <c r="AT44" s="660"/>
      <c r="AU44" s="660"/>
      <c r="AV44" s="660"/>
      <c r="AW44" s="660"/>
    </row>
    <row r="45" spans="1:50" s="155" customFormat="1" ht="18" customHeight="1">
      <c r="A45" s="1902" t="s">
        <v>271</v>
      </c>
      <c r="B45" s="1902"/>
      <c r="C45" s="672" t="s">
        <v>272</v>
      </c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1902" t="s">
        <v>265</v>
      </c>
      <c r="S45" s="1902"/>
      <c r="T45" s="1901" t="s">
        <v>266</v>
      </c>
      <c r="U45" s="1901"/>
      <c r="V45" s="1901"/>
      <c r="W45" s="1901"/>
      <c r="X45" s="1901"/>
      <c r="Y45" s="1901"/>
      <c r="Z45" s="1901"/>
      <c r="AA45" s="1901"/>
      <c r="AB45" s="1901"/>
      <c r="AC45" s="1901"/>
      <c r="AD45" s="1901"/>
      <c r="AE45" s="1901"/>
      <c r="AF45" s="1901"/>
      <c r="AG45" s="1901"/>
      <c r="AH45" s="1901"/>
      <c r="AI45" s="660"/>
      <c r="AJ45" s="660"/>
      <c r="AK45" s="672"/>
      <c r="AL45" s="660"/>
      <c r="AM45" s="660"/>
      <c r="AN45" s="660"/>
      <c r="AO45" s="660"/>
      <c r="AP45" s="660"/>
      <c r="AQ45" s="660"/>
      <c r="AR45" s="660"/>
      <c r="AS45" s="660"/>
      <c r="AT45" s="660"/>
      <c r="AU45" s="660"/>
      <c r="AV45" s="660"/>
      <c r="AW45" s="660"/>
    </row>
    <row r="46" spans="1:50" s="155" customFormat="1" ht="18" customHeight="1">
      <c r="A46" s="1902" t="s">
        <v>267</v>
      </c>
      <c r="B46" s="1902"/>
      <c r="C46" s="1901" t="s">
        <v>1004</v>
      </c>
      <c r="D46" s="1901"/>
      <c r="E46" s="1901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1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0"/>
      <c r="AB46" s="660"/>
      <c r="AC46" s="660"/>
      <c r="AD46" s="660"/>
      <c r="AE46" s="660"/>
      <c r="AF46" s="660"/>
      <c r="AG46" s="660"/>
      <c r="AH46" s="660"/>
      <c r="AI46" s="660"/>
      <c r="AJ46" s="660"/>
      <c r="AK46" s="660"/>
      <c r="AL46" s="660"/>
      <c r="AM46" s="660"/>
      <c r="AN46" s="660"/>
      <c r="AO46" s="660"/>
      <c r="AP46" s="660"/>
      <c r="AQ46" s="660"/>
      <c r="AR46" s="660"/>
      <c r="AS46" s="660"/>
      <c r="AT46" s="660"/>
      <c r="AU46" s="660"/>
      <c r="AV46" s="660"/>
      <c r="AW46" s="660"/>
    </row>
    <row r="47" spans="1:50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58"/>
      <c r="AB47" s="658"/>
      <c r="AC47" s="658"/>
      <c r="AD47" s="658"/>
      <c r="AE47" s="658"/>
      <c r="AF47" s="658"/>
      <c r="AG47" s="658"/>
      <c r="AH47" s="658"/>
      <c r="AI47" s="658"/>
      <c r="AJ47" s="658"/>
      <c r="AK47" s="658"/>
      <c r="AL47" s="658"/>
      <c r="AM47" s="658"/>
      <c r="AN47" s="658"/>
      <c r="AO47" s="658"/>
      <c r="AP47" s="658"/>
      <c r="AQ47" s="658"/>
      <c r="AR47" s="658"/>
      <c r="AS47" s="658"/>
      <c r="AT47" s="658"/>
      <c r="AU47" s="658"/>
      <c r="AV47" s="658"/>
      <c r="AW47" s="658"/>
      <c r="AX47" s="535"/>
    </row>
    <row r="48" spans="1:50">
      <c r="A48" s="1902" t="s">
        <v>269</v>
      </c>
      <c r="B48" s="1902"/>
      <c r="C48" s="1901" t="s">
        <v>270</v>
      </c>
      <c r="D48" s="1901"/>
      <c r="E48" s="1901"/>
      <c r="F48" s="1901"/>
      <c r="G48" s="1901"/>
      <c r="H48" s="1901"/>
      <c r="I48" s="1901"/>
      <c r="J48" s="1901"/>
      <c r="K48" s="1901"/>
      <c r="L48" s="1901"/>
      <c r="M48" s="1901"/>
      <c r="N48" s="1901"/>
      <c r="O48" s="1901"/>
      <c r="P48" s="1901"/>
      <c r="Q48" s="1902" t="s">
        <v>271</v>
      </c>
      <c r="R48" s="1902"/>
      <c r="S48" s="672" t="s">
        <v>272</v>
      </c>
      <c r="T48" s="660"/>
      <c r="U48" s="660"/>
      <c r="V48" s="660"/>
      <c r="W48" s="660"/>
      <c r="X48" s="660"/>
      <c r="Y48" s="660"/>
      <c r="Z48" s="660"/>
      <c r="AA48" s="660"/>
      <c r="AB48" s="660"/>
      <c r="AC48" s="660"/>
      <c r="AD48" s="660"/>
      <c r="AE48" s="660"/>
      <c r="AF48" s="660"/>
      <c r="AG48" s="660"/>
      <c r="AH48" s="1902" t="s">
        <v>280</v>
      </c>
      <c r="AI48" s="1902"/>
      <c r="AJ48" s="1901" t="s">
        <v>871</v>
      </c>
      <c r="AK48" s="1901"/>
      <c r="AL48" s="1901"/>
      <c r="AM48" s="1901"/>
      <c r="AN48" s="1901"/>
      <c r="AO48" s="1901"/>
      <c r="AP48" s="1901"/>
      <c r="AQ48" s="660"/>
      <c r="AR48" s="660"/>
      <c r="AS48" s="660"/>
      <c r="AT48" s="660"/>
      <c r="AU48" s="660"/>
      <c r="AV48" s="660"/>
      <c r="AW48" s="660"/>
      <c r="AX48" s="535"/>
    </row>
    <row r="49" spans="1:60">
      <c r="A49" s="1905" t="s">
        <v>273</v>
      </c>
      <c r="B49" s="1905"/>
      <c r="C49" s="1901" t="s">
        <v>869</v>
      </c>
      <c r="D49" s="1901"/>
      <c r="E49" s="1901"/>
      <c r="F49" s="1901"/>
      <c r="G49" s="1901"/>
      <c r="H49" s="1901"/>
      <c r="I49" s="1901"/>
      <c r="J49" s="1901"/>
      <c r="K49" s="1901"/>
      <c r="L49" s="1901"/>
      <c r="M49" s="1901"/>
      <c r="N49" s="1901"/>
      <c r="O49" s="1901"/>
      <c r="P49" s="1901"/>
      <c r="Q49" s="1901"/>
      <c r="R49" s="1901"/>
      <c r="S49" s="1902" t="s">
        <v>1010</v>
      </c>
      <c r="T49" s="1902"/>
      <c r="U49" s="1901" t="s">
        <v>275</v>
      </c>
      <c r="V49" s="1901"/>
      <c r="W49" s="1901"/>
      <c r="X49" s="1901"/>
      <c r="Y49" s="1901"/>
      <c r="Z49" s="1901"/>
      <c r="AA49" s="1901"/>
      <c r="AB49" s="1901"/>
      <c r="AC49" s="1901"/>
      <c r="AD49" s="1901"/>
      <c r="AE49" s="1901"/>
      <c r="AF49" s="1901"/>
      <c r="AG49" s="1901"/>
      <c r="AH49" s="1901"/>
      <c r="AI49" s="1901"/>
      <c r="AJ49" s="1901"/>
      <c r="AK49" s="1901"/>
      <c r="AL49" s="1901" t="s">
        <v>276</v>
      </c>
      <c r="AM49" s="1901"/>
      <c r="AN49" s="1901" t="s">
        <v>870</v>
      </c>
      <c r="AO49" s="1901"/>
      <c r="AP49" s="1901"/>
      <c r="AQ49" s="1901"/>
      <c r="AR49" s="1901"/>
      <c r="AS49" s="1901"/>
      <c r="AT49" s="1901"/>
      <c r="AU49" s="1901"/>
      <c r="AV49" s="1901"/>
      <c r="AW49" s="658"/>
      <c r="AX49" s="535"/>
    </row>
    <row r="50" spans="1:60">
      <c r="A50" s="1902" t="s">
        <v>251</v>
      </c>
      <c r="B50" s="1902"/>
      <c r="C50" s="1901" t="s">
        <v>1053</v>
      </c>
      <c r="D50" s="1901"/>
      <c r="E50" s="1901"/>
      <c r="F50" s="1901"/>
      <c r="G50" s="1901"/>
      <c r="H50" s="1901"/>
      <c r="I50" s="1901"/>
      <c r="J50" s="1901"/>
      <c r="K50" s="1901"/>
      <c r="L50" s="1901"/>
      <c r="M50" s="1902" t="s">
        <v>258</v>
      </c>
      <c r="N50" s="1902"/>
      <c r="O50" s="1901" t="s">
        <v>1054</v>
      </c>
      <c r="P50" s="1901"/>
      <c r="Q50" s="1901"/>
      <c r="R50" s="1901"/>
      <c r="S50" s="1901"/>
      <c r="T50" s="1901"/>
      <c r="U50" s="1901"/>
      <c r="V50" s="1901"/>
      <c r="W50" s="1901"/>
      <c r="X50" s="1901"/>
      <c r="Y50" s="1901"/>
      <c r="Z50" s="672" t="s">
        <v>277</v>
      </c>
      <c r="AA50" s="672" t="s">
        <v>1011</v>
      </c>
      <c r="AB50" s="706"/>
      <c r="AC50" s="706"/>
      <c r="AD50" s="659"/>
      <c r="AE50" s="660"/>
      <c r="AF50" s="660"/>
      <c r="AG50" s="660"/>
      <c r="AH50" s="660"/>
      <c r="AI50" s="672" t="s">
        <v>281</v>
      </c>
      <c r="AJ50" s="672" t="s">
        <v>282</v>
      </c>
      <c r="AK50" s="658"/>
      <c r="AL50" s="660"/>
      <c r="AM50" s="658"/>
      <c r="AN50" s="658"/>
      <c r="AO50" s="658"/>
      <c r="AP50" s="658"/>
      <c r="AQ50" s="658"/>
      <c r="AR50" s="658"/>
      <c r="AS50" s="658"/>
      <c r="AT50" s="658"/>
      <c r="AU50" s="658"/>
      <c r="AV50" s="658"/>
      <c r="AW50" s="658"/>
      <c r="AX50" s="535"/>
    </row>
    <row r="51" spans="1:60">
      <c r="A51" s="705"/>
      <c r="B51" s="707"/>
      <c r="C51" s="707"/>
      <c r="D51" s="707"/>
      <c r="E51" s="707"/>
      <c r="F51" s="707"/>
      <c r="G51" s="707"/>
      <c r="H51" s="707"/>
      <c r="I51" s="707"/>
      <c r="J51" s="708"/>
      <c r="K51" s="709"/>
      <c r="L51" s="709"/>
      <c r="M51" s="709"/>
      <c r="N51" s="709"/>
      <c r="O51" s="707"/>
      <c r="P51" s="710"/>
      <c r="Q51" s="658"/>
      <c r="R51" s="658"/>
      <c r="S51" s="658"/>
      <c r="T51" s="658"/>
      <c r="U51" s="658"/>
      <c r="V51" s="658"/>
      <c r="W51" s="658"/>
      <c r="X51" s="658"/>
      <c r="Y51" s="658"/>
      <c r="Z51" s="658"/>
      <c r="AA51" s="658"/>
      <c r="AB51" s="658"/>
      <c r="AC51" s="658"/>
      <c r="AD51" s="658"/>
      <c r="AE51" s="658"/>
      <c r="AF51" s="658"/>
      <c r="AG51" s="658"/>
      <c r="AH51" s="658"/>
      <c r="AI51" s="658"/>
      <c r="AJ51" s="707"/>
      <c r="AK51" s="658"/>
      <c r="AL51" s="658"/>
      <c r="AM51" s="658"/>
      <c r="AN51" s="658"/>
      <c r="AO51" s="658"/>
      <c r="AP51" s="658"/>
      <c r="AQ51" s="658"/>
      <c r="AR51" s="658"/>
      <c r="AS51" s="658"/>
      <c r="AT51" s="658"/>
      <c r="AU51" s="658"/>
      <c r="AV51" s="707"/>
      <c r="AW51" s="707"/>
      <c r="AX51" s="535"/>
      <c r="AY51" s="535"/>
      <c r="AZ51" s="535"/>
      <c r="BA51" s="535"/>
      <c r="BB51" s="535"/>
      <c r="BC51" s="535"/>
      <c r="BD51" s="535"/>
      <c r="BE51" s="535"/>
      <c r="BF51" s="535"/>
      <c r="BG51" s="535"/>
      <c r="BH51" s="535"/>
    </row>
    <row r="53" spans="1:60">
      <c r="R53" s="441"/>
      <c r="S53" s="441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G53" s="441"/>
      <c r="AH53" s="441"/>
      <c r="AI53" s="441"/>
      <c r="AJ53" s="441"/>
      <c r="AK53" s="441"/>
      <c r="AL53" s="441"/>
      <c r="AM53" s="441"/>
      <c r="AN53" s="441"/>
      <c r="AO53" s="441"/>
      <c r="AP53" s="441"/>
      <c r="AQ53" s="155"/>
    </row>
    <row r="54" spans="1:60"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G54" s="441"/>
      <c r="AH54" s="441"/>
      <c r="AI54" s="441"/>
      <c r="AJ54" s="441"/>
      <c r="AK54" s="441"/>
      <c r="AL54" s="441"/>
      <c r="AM54" s="441"/>
      <c r="AN54" s="441"/>
      <c r="AO54" s="441"/>
      <c r="AP54" s="441"/>
      <c r="AQ54" s="155"/>
    </row>
    <row r="55" spans="1:60">
      <c r="O55" s="155"/>
      <c r="AA55" s="155"/>
      <c r="AB55" s="155"/>
      <c r="AC55" s="155"/>
      <c r="AO55" s="155"/>
      <c r="AP55" s="155"/>
      <c r="AQ55" s="155"/>
    </row>
    <row r="56" spans="1:60">
      <c r="Z56" s="155"/>
      <c r="AA56" s="155"/>
      <c r="AB56" s="155"/>
      <c r="AC56" s="155"/>
      <c r="AO56" s="155"/>
      <c r="AP56" s="155"/>
      <c r="AQ56" s="155"/>
    </row>
  </sheetData>
  <mergeCells count="280">
    <mergeCell ref="BM8:BN8"/>
    <mergeCell ref="BC9:BD10"/>
    <mergeCell ref="BE9:BF10"/>
    <mergeCell ref="BI9:BJ10"/>
    <mergeCell ref="BK9:BL10"/>
    <mergeCell ref="BM9:BN10"/>
    <mergeCell ref="AY8:BB8"/>
    <mergeCell ref="AY9:BB10"/>
    <mergeCell ref="AY5:AZ6"/>
    <mergeCell ref="BA5:BB6"/>
    <mergeCell ref="BC5:BD6"/>
    <mergeCell ref="BE5:BF6"/>
    <mergeCell ref="BG5:BH6"/>
    <mergeCell ref="BI5:BJ6"/>
    <mergeCell ref="BK5:BL6"/>
    <mergeCell ref="BC8:BD8"/>
    <mergeCell ref="BE8:BF8"/>
    <mergeCell ref="BI8:BJ8"/>
    <mergeCell ref="BK8:BL8"/>
    <mergeCell ref="BM5:BN6"/>
    <mergeCell ref="AY7:AZ7"/>
    <mergeCell ref="BA7:BB7"/>
    <mergeCell ref="BC7:BD7"/>
    <mergeCell ref="BE7:BF7"/>
    <mergeCell ref="BI7:BJ7"/>
    <mergeCell ref="BK7:BL7"/>
    <mergeCell ref="BM7:BN7"/>
    <mergeCell ref="AY3:AZ3"/>
    <mergeCell ref="BA3:BB3"/>
    <mergeCell ref="BC3:BD3"/>
    <mergeCell ref="BE3:BF3"/>
    <mergeCell ref="BG3:BH3"/>
    <mergeCell ref="BI3:BJ3"/>
    <mergeCell ref="BK3:BL3"/>
    <mergeCell ref="BM3:BN3"/>
    <mergeCell ref="AY4:AZ4"/>
    <mergeCell ref="BA4:BB4"/>
    <mergeCell ref="BC4:BD4"/>
    <mergeCell ref="BE4:BF4"/>
    <mergeCell ref="BG4:BH4"/>
    <mergeCell ref="BI4:BJ4"/>
    <mergeCell ref="BK4:BL4"/>
    <mergeCell ref="BM4:BN4"/>
    <mergeCell ref="U49:AK49"/>
    <mergeCell ref="C50:L50"/>
    <mergeCell ref="O50:Y50"/>
    <mergeCell ref="A46:B46"/>
    <mergeCell ref="C46:P46"/>
    <mergeCell ref="AH48:AI48"/>
    <mergeCell ref="AJ48:AP48"/>
    <mergeCell ref="M50:N50"/>
    <mergeCell ref="A50:B50"/>
    <mergeCell ref="A40:B40"/>
    <mergeCell ref="C40:S40"/>
    <mergeCell ref="U40:V40"/>
    <mergeCell ref="AD40:AE40"/>
    <mergeCell ref="AF40:AV40"/>
    <mergeCell ref="A41:B41"/>
    <mergeCell ref="A49:B49"/>
    <mergeCell ref="C49:R49"/>
    <mergeCell ref="S49:T49"/>
    <mergeCell ref="AL49:AM49"/>
    <mergeCell ref="AN49:AV49"/>
    <mergeCell ref="AL43:AW43"/>
    <mergeCell ref="A45:B45"/>
    <mergeCell ref="R45:S45"/>
    <mergeCell ref="T45:AH45"/>
    <mergeCell ref="A48:B48"/>
    <mergeCell ref="C48:P48"/>
    <mergeCell ref="Q48:R48"/>
    <mergeCell ref="A43:B43"/>
    <mergeCell ref="I43:J43"/>
    <mergeCell ref="K43:S43"/>
    <mergeCell ref="T43:U43"/>
    <mergeCell ref="V43:AI43"/>
    <mergeCell ref="AJ43:AK43"/>
    <mergeCell ref="AH37:AW37"/>
    <mergeCell ref="A38:B38"/>
    <mergeCell ref="C38:N38"/>
    <mergeCell ref="P38:Q38"/>
    <mergeCell ref="R38:AB38"/>
    <mergeCell ref="AD38:AE38"/>
    <mergeCell ref="AF38:AT38"/>
    <mergeCell ref="AG31:AJ31"/>
    <mergeCell ref="AO34:AS35"/>
    <mergeCell ref="AT34:AT35"/>
    <mergeCell ref="I35:L35"/>
    <mergeCell ref="O35:P35"/>
    <mergeCell ref="A37:B37"/>
    <mergeCell ref="C37:P37"/>
    <mergeCell ref="R37:S37"/>
    <mergeCell ref="T37:AD37"/>
    <mergeCell ref="AF37:AG37"/>
    <mergeCell ref="O34:P34"/>
    <mergeCell ref="U34:V35"/>
    <mergeCell ref="W34:W35"/>
    <mergeCell ref="X34:AL34"/>
    <mergeCell ref="AM34:AM35"/>
    <mergeCell ref="AN34:AN35"/>
    <mergeCell ref="B34:C35"/>
    <mergeCell ref="D34:D35"/>
    <mergeCell ref="E34:F35"/>
    <mergeCell ref="G34:H35"/>
    <mergeCell ref="I34:L34"/>
    <mergeCell ref="M34:N35"/>
    <mergeCell ref="X35:AL35"/>
    <mergeCell ref="AA30:AA31"/>
    <mergeCell ref="AR31:AS31"/>
    <mergeCell ref="H32:J32"/>
    <mergeCell ref="L32:O32"/>
    <mergeCell ref="Q32:R32"/>
    <mergeCell ref="A33:R33"/>
    <mergeCell ref="T33:AF33"/>
    <mergeCell ref="AR30:AS30"/>
    <mergeCell ref="E31:F32"/>
    <mergeCell ref="G31:G32"/>
    <mergeCell ref="H31:J31"/>
    <mergeCell ref="K31:K32"/>
    <mergeCell ref="L31:O31"/>
    <mergeCell ref="P31:P32"/>
    <mergeCell ref="Q31:R31"/>
    <mergeCell ref="S31:S32"/>
    <mergeCell ref="T31:U32"/>
    <mergeCell ref="AB30:AE30"/>
    <mergeCell ref="AF30:AF31"/>
    <mergeCell ref="AG30:AJ30"/>
    <mergeCell ref="AM30:AM31"/>
    <mergeCell ref="AN30:AN31"/>
    <mergeCell ref="AP30:AP31"/>
    <mergeCell ref="AB31:AE31"/>
    <mergeCell ref="AH25:AJ25"/>
    <mergeCell ref="AM25:AN25"/>
    <mergeCell ref="AP25:AP26"/>
    <mergeCell ref="AA25:AB25"/>
    <mergeCell ref="AC25:AE25"/>
    <mergeCell ref="AF25:AG25"/>
    <mergeCell ref="AA26:AB26"/>
    <mergeCell ref="AC26:AE26"/>
    <mergeCell ref="AQ25:AS26"/>
    <mergeCell ref="AT25:AT26"/>
    <mergeCell ref="AU25:AV26"/>
    <mergeCell ref="B28:G28"/>
    <mergeCell ref="A29:F29"/>
    <mergeCell ref="I29:J29"/>
    <mergeCell ref="K29:K30"/>
    <mergeCell ref="L29:M30"/>
    <mergeCell ref="N29:N30"/>
    <mergeCell ref="Q26:R26"/>
    <mergeCell ref="S26:T26"/>
    <mergeCell ref="U26:V26"/>
    <mergeCell ref="O29:P30"/>
    <mergeCell ref="W29:AE29"/>
    <mergeCell ref="AL29:AS29"/>
    <mergeCell ref="B30:C31"/>
    <mergeCell ref="D30:D31"/>
    <mergeCell ref="I30:J30"/>
    <mergeCell ref="X30:X31"/>
    <mergeCell ref="Y30:Y31"/>
    <mergeCell ref="Z30:Z31"/>
    <mergeCell ref="S25:U25"/>
    <mergeCell ref="V25:W25"/>
    <mergeCell ref="X25:Z25"/>
    <mergeCell ref="A24:L24"/>
    <mergeCell ref="M24:P24"/>
    <mergeCell ref="B25:C26"/>
    <mergeCell ref="D25:D26"/>
    <mergeCell ref="F25:H25"/>
    <mergeCell ref="J25:M25"/>
    <mergeCell ref="N25:O25"/>
    <mergeCell ref="N26:P26"/>
    <mergeCell ref="W26:Z26"/>
    <mergeCell ref="K22:K23"/>
    <mergeCell ref="O22:Q22"/>
    <mergeCell ref="U22:U23"/>
    <mergeCell ref="V22:V23"/>
    <mergeCell ref="W22:Y22"/>
    <mergeCell ref="L23:N23"/>
    <mergeCell ref="Q23:S23"/>
    <mergeCell ref="W23:Y23"/>
    <mergeCell ref="B22:C23"/>
    <mergeCell ref="D22:D23"/>
    <mergeCell ref="E22:E23"/>
    <mergeCell ref="F22:H23"/>
    <mergeCell ref="I22:I23"/>
    <mergeCell ref="J22:J23"/>
    <mergeCell ref="O19:P19"/>
    <mergeCell ref="S19:U19"/>
    <mergeCell ref="P20:S20"/>
    <mergeCell ref="A21:P21"/>
    <mergeCell ref="Q21:T21"/>
    <mergeCell ref="U21:V21"/>
    <mergeCell ref="A18:G18"/>
    <mergeCell ref="H18:J18"/>
    <mergeCell ref="K18:L18"/>
    <mergeCell ref="B19:C20"/>
    <mergeCell ref="D19:D20"/>
    <mergeCell ref="E19:E20"/>
    <mergeCell ref="F19:H20"/>
    <mergeCell ref="I19:I20"/>
    <mergeCell ref="J19:J20"/>
    <mergeCell ref="L19:L20"/>
    <mergeCell ref="I16:I17"/>
    <mergeCell ref="S16:S17"/>
    <mergeCell ref="U16:W16"/>
    <mergeCell ref="AA16:AC16"/>
    <mergeCell ref="J17:L17"/>
    <mergeCell ref="T17:AD17"/>
    <mergeCell ref="A15:G15"/>
    <mergeCell ref="H15:J15"/>
    <mergeCell ref="K15:M15"/>
    <mergeCell ref="O15:P15"/>
    <mergeCell ref="Q15:S15"/>
    <mergeCell ref="B16:C17"/>
    <mergeCell ref="D16:D17"/>
    <mergeCell ref="E16:E17"/>
    <mergeCell ref="F16:G17"/>
    <mergeCell ref="H16:H17"/>
    <mergeCell ref="O17:Q17"/>
    <mergeCell ref="J16:R16"/>
    <mergeCell ref="AD13:AD14"/>
    <mergeCell ref="AE13:AF14"/>
    <mergeCell ref="AG13:AG14"/>
    <mergeCell ref="I14:K14"/>
    <mergeCell ref="L14:M14"/>
    <mergeCell ref="P14:Y14"/>
    <mergeCell ref="AA14:AB14"/>
    <mergeCell ref="O13:O14"/>
    <mergeCell ref="Q13:S13"/>
    <mergeCell ref="W13:X13"/>
    <mergeCell ref="Z13:Z14"/>
    <mergeCell ref="AA13:AB13"/>
    <mergeCell ref="AC13:AC14"/>
    <mergeCell ref="R11:S12"/>
    <mergeCell ref="T11:T12"/>
    <mergeCell ref="U11:W12"/>
    <mergeCell ref="A12:B13"/>
    <mergeCell ref="C12:C13"/>
    <mergeCell ref="N12:O12"/>
    <mergeCell ref="D13:D14"/>
    <mergeCell ref="E13:F14"/>
    <mergeCell ref="G13:H14"/>
    <mergeCell ref="I13:N13"/>
    <mergeCell ref="A11:D11"/>
    <mergeCell ref="F11:H11"/>
    <mergeCell ref="I11:J11"/>
    <mergeCell ref="N11:O11"/>
    <mergeCell ref="P11:P12"/>
    <mergeCell ref="Q11:Q12"/>
    <mergeCell ref="AR9:AW9"/>
    <mergeCell ref="A10:K10"/>
    <mergeCell ref="L10:S10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T1:AD2"/>
    <mergeCell ref="AR2:AW3"/>
    <mergeCell ref="AR1:AW1"/>
    <mergeCell ref="AL2:AQ3"/>
    <mergeCell ref="AL1:AQ1"/>
    <mergeCell ref="D6:H6"/>
    <mergeCell ref="AB6:AE6"/>
    <mergeCell ref="D7:H7"/>
    <mergeCell ref="AB7:AE7"/>
    <mergeCell ref="AG6:AK6"/>
    <mergeCell ref="AG7:AK7"/>
    <mergeCell ref="J7:M7"/>
    <mergeCell ref="D4:H4"/>
    <mergeCell ref="D5:H5"/>
    <mergeCell ref="AB5:AE5"/>
    <mergeCell ref="AG5:AK5"/>
    <mergeCell ref="J6:K6"/>
    <mergeCell ref="J5:Z5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&amp;L&amp;"+,보통"&amp;10fKET-QP-18-01(1)&amp;R&amp;"+,보통"&amp;10한국종합환경산업(주)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D912-9BFE-411B-8788-071893BDC337}">
  <sheetPr>
    <tabColor theme="5" tint="0.39997558519241921"/>
  </sheetPr>
  <dimension ref="A1:CA56"/>
  <sheetViews>
    <sheetView view="pageBreakPreview" topLeftCell="A7" zoomScale="115" zoomScaleNormal="130" zoomScaleSheetLayoutView="115" zoomScalePageLayoutView="55" workbookViewId="0">
      <selection activeCell="A36" sqref="A36:B36"/>
    </sheetView>
  </sheetViews>
  <sheetFormatPr defaultColWidth="9" defaultRowHeight="16.899999999999999"/>
  <cols>
    <col min="1" max="12" width="2.125" style="705" customWidth="1"/>
    <col min="13" max="49" width="2.125" style="658" customWidth="1"/>
    <col min="50" max="16384" width="9" style="658"/>
  </cols>
  <sheetData>
    <row r="1" spans="1:49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834" t="s">
        <v>935</v>
      </c>
      <c r="AM1" s="1834"/>
      <c r="AN1" s="1834"/>
      <c r="AO1" s="1834"/>
      <c r="AP1" s="1834"/>
      <c r="AQ1" s="1834"/>
      <c r="AR1" s="1834" t="s">
        <v>852</v>
      </c>
      <c r="AS1" s="1834"/>
      <c r="AT1" s="1834"/>
      <c r="AU1" s="1834"/>
      <c r="AV1" s="1834"/>
      <c r="AW1" s="1834"/>
    </row>
    <row r="2" spans="1:49" ht="16.5" customHeigh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833"/>
      <c r="AM2" s="1833"/>
      <c r="AN2" s="1833"/>
      <c r="AO2" s="1833"/>
      <c r="AP2" s="1833"/>
      <c r="AQ2" s="1833"/>
      <c r="AR2" s="1833"/>
      <c r="AS2" s="1833"/>
      <c r="AT2" s="1833"/>
      <c r="AU2" s="1833"/>
      <c r="AV2" s="1833"/>
      <c r="AW2" s="1833"/>
    </row>
    <row r="3" spans="1:49" ht="16.5" customHeigh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AE3" s="657"/>
      <c r="AF3" s="657"/>
      <c r="AG3" s="657"/>
      <c r="AH3" s="657"/>
      <c r="AI3" s="657"/>
      <c r="AJ3" s="657"/>
      <c r="AK3" s="657"/>
      <c r="AL3" s="1833"/>
      <c r="AM3" s="1833"/>
      <c r="AN3" s="1833"/>
      <c r="AO3" s="1833"/>
      <c r="AP3" s="1833"/>
      <c r="AQ3" s="1833"/>
      <c r="AR3" s="1833"/>
      <c r="AS3" s="1833"/>
      <c r="AT3" s="1833"/>
      <c r="AU3" s="1833"/>
      <c r="AV3" s="1833"/>
      <c r="AW3" s="1833"/>
    </row>
    <row r="4" spans="1:49" s="660" customFormat="1" ht="15" customHeigh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1838" t="s">
        <v>1049</v>
      </c>
      <c r="K4" s="1838"/>
      <c r="L4" s="1838"/>
      <c r="M4" s="1838"/>
      <c r="N4" s="1838"/>
      <c r="O4" s="1838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  <c r="AF4" s="661"/>
      <c r="AG4" s="662"/>
      <c r="AH4" s="662"/>
      <c r="AI4" s="662"/>
      <c r="AJ4" s="662"/>
      <c r="AK4" s="662"/>
      <c r="AL4" s="659"/>
      <c r="AM4" s="659"/>
      <c r="AN4" s="659"/>
      <c r="AO4" s="659"/>
      <c r="AP4" s="659"/>
      <c r="AQ4" s="659"/>
      <c r="AR4" s="659"/>
      <c r="AS4" s="659"/>
      <c r="AT4" s="659"/>
      <c r="AU4" s="659"/>
      <c r="AV4" s="659"/>
      <c r="AW4" s="659"/>
    </row>
    <row r="5" spans="1:49" s="660" customFormat="1" ht="15" customHeight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1051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'시험일지(계산일지-1)'!AG5:AK5</f>
        <v>0</v>
      </c>
      <c r="AH5" s="1836"/>
      <c r="AI5" s="1836"/>
      <c r="AJ5" s="1836"/>
      <c r="AK5" s="1836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659"/>
      <c r="AW5" s="659"/>
    </row>
    <row r="6" spans="1:49" s="660" customFormat="1" ht="15" customHeigh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'시험일지(계산일지-1)'!AG6:AK6</f>
        <v>46059</v>
      </c>
      <c r="AH6" s="1836"/>
      <c r="AI6" s="1836"/>
      <c r="AJ6" s="1836"/>
      <c r="AK6" s="1836"/>
      <c r="AL6" s="662"/>
      <c r="AM6" s="662"/>
      <c r="AN6" s="662"/>
      <c r="AO6" s="662"/>
      <c r="AP6" s="659"/>
      <c r="AQ6" s="659"/>
      <c r="AR6" s="659"/>
      <c r="AS6" s="659"/>
      <c r="AT6" s="659"/>
      <c r="AU6" s="659"/>
      <c r="AV6" s="662"/>
      <c r="AW6" s="662"/>
    </row>
    <row r="7" spans="1:49" s="660" customFormat="1" ht="15" customHeigh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'시험일지(계산일지-1)'!J7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59"/>
      <c r="AQ7" s="659"/>
      <c r="AR7" s="659"/>
      <c r="AS7" s="659"/>
      <c r="AT7" s="659"/>
      <c r="AU7" s="659"/>
      <c r="AV7" s="662"/>
      <c r="AW7" s="662"/>
    </row>
    <row r="8" spans="1:49" s="660" customFormat="1" ht="15" customHeigh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</row>
    <row r="9" spans="1:49" s="660" customFormat="1" ht="18" customHeight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</row>
    <row r="10" spans="1:49" s="660" customFormat="1" ht="18" customHeight="1">
      <c r="A10" s="1842">
        <f>'먼지측정 사전 Data'!O4</f>
        <v>0</v>
      </c>
      <c r="B10" s="1843"/>
      <c r="C10" s="1843"/>
      <c r="D10" s="1843"/>
      <c r="E10" s="1843"/>
      <c r="F10" s="1843"/>
      <c r="G10" s="1843"/>
      <c r="H10" s="1843"/>
      <c r="I10" s="1843"/>
      <c r="J10" s="1843"/>
      <c r="K10" s="1844"/>
      <c r="L10" s="1845"/>
      <c r="M10" s="1846"/>
      <c r="N10" s="1846"/>
      <c r="O10" s="1846"/>
      <c r="P10" s="1846"/>
      <c r="Q10" s="1846"/>
      <c r="R10" s="1846"/>
      <c r="S10" s="1847"/>
      <c r="T10" s="1845"/>
      <c r="U10" s="1846"/>
      <c r="V10" s="1846"/>
      <c r="W10" s="1846"/>
      <c r="X10" s="1846"/>
      <c r="Y10" s="1846"/>
      <c r="Z10" s="1847"/>
      <c r="AA10" s="1848"/>
      <c r="AB10" s="1849"/>
      <c r="AC10" s="1849"/>
      <c r="AD10" s="1849"/>
      <c r="AE10" s="1850"/>
      <c r="AF10" s="1839"/>
      <c r="AG10" s="1840"/>
      <c r="AH10" s="1840"/>
      <c r="AI10" s="1840"/>
      <c r="AJ10" s="1840"/>
      <c r="AK10" s="1841"/>
      <c r="AL10" s="1839"/>
      <c r="AM10" s="1840"/>
      <c r="AN10" s="1840"/>
      <c r="AO10" s="1840"/>
      <c r="AP10" s="1840"/>
      <c r="AQ10" s="1841"/>
      <c r="AR10" s="1839"/>
      <c r="AS10" s="1840"/>
      <c r="AT10" s="1840"/>
      <c r="AU10" s="1840"/>
      <c r="AV10" s="1840"/>
      <c r="AW10" s="1841"/>
    </row>
    <row r="11" spans="1:49" s="660" customFormat="1" ht="21.95" customHeight="1">
      <c r="A11" s="1858" t="s">
        <v>970</v>
      </c>
      <c r="B11" s="1859"/>
      <c r="C11" s="1859"/>
      <c r="D11" s="1859"/>
      <c r="E11" s="666" t="s">
        <v>1</v>
      </c>
      <c r="F11" s="1860" t="e">
        <f>ROUND((G12/(E13+J13))*100,2)</f>
        <v>#DIV/0!</v>
      </c>
      <c r="G11" s="1860"/>
      <c r="H11" s="1860"/>
      <c r="I11" s="1861" t="s">
        <v>971</v>
      </c>
      <c r="J11" s="1861"/>
      <c r="K11" s="667"/>
      <c r="L11" s="667"/>
      <c r="M11" s="667"/>
      <c r="N11" s="731"/>
      <c r="O11" s="731"/>
      <c r="P11" s="667"/>
      <c r="Q11" s="667"/>
      <c r="R11" s="667"/>
      <c r="S11" s="667"/>
      <c r="T11" s="667"/>
      <c r="U11" s="667"/>
      <c r="V11" s="667"/>
      <c r="W11" s="667"/>
      <c r="X11" s="668"/>
      <c r="Y11" s="668"/>
      <c r="Z11" s="668"/>
      <c r="AA11" s="668"/>
      <c r="AB11" s="668"/>
      <c r="AC11" s="668"/>
      <c r="AD11" s="668"/>
      <c r="AE11" s="668"/>
      <c r="AF11" s="669"/>
      <c r="AG11" s="669"/>
      <c r="AH11" s="669"/>
      <c r="AI11" s="669"/>
      <c r="AJ11" s="669"/>
      <c r="AK11" s="669"/>
      <c r="AL11" s="669"/>
      <c r="AM11" s="670"/>
      <c r="AN11" s="670"/>
      <c r="AO11" s="670"/>
      <c r="AP11" s="670"/>
      <c r="AQ11" s="670"/>
      <c r="AR11" s="670"/>
      <c r="AS11" s="670"/>
      <c r="AT11" s="670"/>
      <c r="AU11" s="670"/>
      <c r="AV11" s="670"/>
      <c r="AW11" s="671"/>
    </row>
    <row r="12" spans="1:49" s="660" customFormat="1" ht="21.95" customHeight="1">
      <c r="A12" s="1855" t="s">
        <v>200</v>
      </c>
      <c r="B12" s="1852"/>
      <c r="C12" s="1852" t="s">
        <v>201</v>
      </c>
      <c r="D12" s="730"/>
      <c r="E12" s="730"/>
      <c r="F12" s="732" t="s">
        <v>86</v>
      </c>
      <c r="G12" s="1917" t="e">
        <f>'포화수증기압 표 '!E4</f>
        <v>#DIV/0!</v>
      </c>
      <c r="H12" s="1917"/>
      <c r="I12" s="1917"/>
      <c r="J12" s="733" t="s">
        <v>138</v>
      </c>
      <c r="K12" s="730"/>
      <c r="L12" s="730"/>
      <c r="M12" s="672"/>
      <c r="N12" s="1898" t="s">
        <v>972</v>
      </c>
      <c r="O12" s="1918">
        <v>100</v>
      </c>
      <c r="P12" s="1918"/>
      <c r="Q12" s="672"/>
      <c r="R12" s="672"/>
      <c r="S12" s="672"/>
      <c r="T12" s="672"/>
      <c r="U12" s="672"/>
      <c r="V12" s="672"/>
      <c r="W12" s="672"/>
      <c r="X12" s="674"/>
      <c r="Y12" s="674"/>
      <c r="Z12" s="674"/>
      <c r="AA12" s="674"/>
      <c r="AB12" s="659"/>
      <c r="AC12" s="659"/>
      <c r="AD12" s="659"/>
      <c r="AE12" s="659"/>
      <c r="AF12" s="659"/>
      <c r="AG12" s="659"/>
      <c r="AI12" s="659"/>
      <c r="AJ12" s="659"/>
      <c r="AK12" s="659"/>
      <c r="AL12" s="659"/>
      <c r="AW12" s="675"/>
    </row>
    <row r="13" spans="1:49" s="660" customFormat="1" ht="21.95" customHeight="1">
      <c r="A13" s="1855"/>
      <c r="B13" s="1852"/>
      <c r="C13" s="1852"/>
      <c r="D13" s="704" t="s">
        <v>86</v>
      </c>
      <c r="E13" s="1852">
        <f>'먼지측정 사전 Data'!H20</f>
        <v>0</v>
      </c>
      <c r="F13" s="1852"/>
      <c r="G13" s="1852"/>
      <c r="H13" s="1852" t="s">
        <v>985</v>
      </c>
      <c r="I13" s="1852"/>
      <c r="J13" s="1916" t="e">
        <f>'먼지측정 사전 Data'!U71</f>
        <v>#DIV/0!</v>
      </c>
      <c r="K13" s="1852"/>
      <c r="L13" s="1852"/>
      <c r="M13" s="677" t="s">
        <v>138</v>
      </c>
      <c r="N13" s="1898"/>
      <c r="O13" s="1918"/>
      <c r="P13" s="1918"/>
      <c r="Q13" s="672"/>
      <c r="R13" s="672"/>
      <c r="S13" s="672"/>
      <c r="T13" s="734"/>
      <c r="U13" s="734"/>
      <c r="V13" s="704"/>
      <c r="W13" s="735"/>
      <c r="X13" s="735"/>
      <c r="Y13" s="736"/>
      <c r="Z13" s="674"/>
      <c r="AA13" s="737"/>
      <c r="AB13" s="737"/>
      <c r="AC13" s="659"/>
      <c r="AD13" s="659"/>
      <c r="AE13" s="659"/>
      <c r="AF13" s="659"/>
      <c r="AG13" s="659"/>
      <c r="AI13" s="659"/>
      <c r="AJ13" s="659"/>
      <c r="AK13" s="659"/>
      <c r="AL13" s="659"/>
      <c r="AW13" s="675"/>
    </row>
    <row r="14" spans="1:49" s="660" customFormat="1" ht="21.95" customHeight="1">
      <c r="A14" s="1879" t="s">
        <v>973</v>
      </c>
      <c r="B14" s="1880"/>
      <c r="C14" s="1880"/>
      <c r="D14" s="1880"/>
      <c r="E14" s="1880"/>
      <c r="F14" s="1880"/>
      <c r="G14" s="1880"/>
      <c r="H14" s="1881" t="e">
        <f>ROUND(F15*273/(273+O16)*(U15+AA15)/760,3)</f>
        <v>#DIV/0!</v>
      </c>
      <c r="I14" s="1881"/>
      <c r="J14" s="1881"/>
      <c r="K14" s="1853" t="s">
        <v>860</v>
      </c>
      <c r="L14" s="1853"/>
      <c r="M14" s="1853"/>
      <c r="N14" s="682"/>
      <c r="O14" s="1843" t="s">
        <v>974</v>
      </c>
      <c r="P14" s="1843"/>
      <c r="Q14" s="1882" t="e">
        <f>ROUND('먼지측정 사전 Data'!R17,2)</f>
        <v>#DIV/0!</v>
      </c>
      <c r="R14" s="1882"/>
      <c r="S14" s="1882"/>
      <c r="T14" s="682"/>
      <c r="U14" s="668"/>
      <c r="V14" s="668"/>
      <c r="W14" s="668"/>
      <c r="X14" s="668"/>
      <c r="Y14" s="668"/>
      <c r="Z14" s="668"/>
      <c r="AA14" s="682"/>
      <c r="AB14" s="670"/>
      <c r="AC14" s="670"/>
      <c r="AD14" s="682"/>
      <c r="AE14" s="682"/>
      <c r="AF14" s="682"/>
      <c r="AG14" s="682"/>
      <c r="AH14" s="670"/>
      <c r="AI14" s="682"/>
      <c r="AJ14" s="682"/>
      <c r="AK14" s="682"/>
      <c r="AL14" s="682"/>
      <c r="AM14" s="670"/>
      <c r="AN14" s="670"/>
      <c r="AO14" s="670"/>
      <c r="AP14" s="670"/>
      <c r="AQ14" s="670"/>
      <c r="AR14" s="670"/>
      <c r="AS14" s="670"/>
      <c r="AT14" s="670"/>
      <c r="AU14" s="670"/>
      <c r="AV14" s="670"/>
      <c r="AW14" s="671"/>
    </row>
    <row r="15" spans="1:49" s="660" customFormat="1" ht="21.95" customHeight="1">
      <c r="A15" s="683"/>
      <c r="B15" s="1835" t="s">
        <v>75</v>
      </c>
      <c r="C15" s="1835"/>
      <c r="D15" s="1835" t="s">
        <v>1</v>
      </c>
      <c r="E15" s="1835" t="s">
        <v>86</v>
      </c>
      <c r="F15" s="1876" t="e">
        <f>Q14</f>
        <v>#DIV/0!</v>
      </c>
      <c r="G15" s="1876"/>
      <c r="H15" s="1835" t="s">
        <v>138</v>
      </c>
      <c r="I15" s="1835" t="s">
        <v>972</v>
      </c>
      <c r="J15" s="1865">
        <v>273</v>
      </c>
      <c r="K15" s="1865"/>
      <c r="L15" s="1865"/>
      <c r="M15" s="1865"/>
      <c r="N15" s="1865"/>
      <c r="O15" s="1865"/>
      <c r="P15" s="1865"/>
      <c r="Q15" s="1865"/>
      <c r="R15" s="1865"/>
      <c r="S15" s="1835" t="s">
        <v>972</v>
      </c>
      <c r="T15" s="664" t="s">
        <v>86</v>
      </c>
      <c r="U15" s="1835">
        <f>'먼지측정 사전 Data'!H20</f>
        <v>0</v>
      </c>
      <c r="V15" s="1835"/>
      <c r="W15" s="1835"/>
      <c r="X15" s="684" t="s">
        <v>138</v>
      </c>
      <c r="Y15" s="684" t="s">
        <v>56</v>
      </c>
      <c r="Z15" s="684" t="s">
        <v>86</v>
      </c>
      <c r="AA15" s="1876" t="e">
        <f>'먼지측정 사전 Data'!U71</f>
        <v>#DIV/0!</v>
      </c>
      <c r="AB15" s="1876"/>
      <c r="AC15" s="1876"/>
      <c r="AD15" s="664" t="s">
        <v>138</v>
      </c>
      <c r="AW15" s="675"/>
    </row>
    <row r="16" spans="1:49" s="660" customFormat="1" ht="21.95" customHeight="1">
      <c r="A16" s="683"/>
      <c r="B16" s="1835"/>
      <c r="C16" s="1835"/>
      <c r="D16" s="1835"/>
      <c r="E16" s="1835"/>
      <c r="F16" s="1876"/>
      <c r="G16" s="1876"/>
      <c r="H16" s="1835"/>
      <c r="I16" s="1835"/>
      <c r="J16" s="1911">
        <v>273</v>
      </c>
      <c r="K16" s="1911"/>
      <c r="L16" s="1911"/>
      <c r="M16" s="664" t="s">
        <v>56</v>
      </c>
      <c r="N16" s="664" t="s">
        <v>86</v>
      </c>
      <c r="O16" s="1884" t="e">
        <f>'먼지측정 사전 Data'!R69</f>
        <v>#DIV/0!</v>
      </c>
      <c r="P16" s="1884"/>
      <c r="Q16" s="1884"/>
      <c r="R16" s="738" t="s">
        <v>138</v>
      </c>
      <c r="S16" s="1835"/>
      <c r="T16" s="1843">
        <v>760</v>
      </c>
      <c r="U16" s="1843"/>
      <c r="V16" s="1843"/>
      <c r="W16" s="1843"/>
      <c r="X16" s="1843"/>
      <c r="Y16" s="1843"/>
      <c r="Z16" s="1843"/>
      <c r="AA16" s="1843"/>
      <c r="AB16" s="1843"/>
      <c r="AC16" s="1843"/>
      <c r="AD16" s="1843"/>
      <c r="AW16" s="675"/>
    </row>
    <row r="17" spans="1:52" s="688" customFormat="1" ht="21.95" customHeight="1">
      <c r="A17" s="1879" t="s">
        <v>975</v>
      </c>
      <c r="B17" s="1880"/>
      <c r="C17" s="1880"/>
      <c r="D17" s="1880"/>
      <c r="E17" s="1880"/>
      <c r="F17" s="1880"/>
      <c r="G17" s="1880"/>
      <c r="H17" s="1881" t="e">
        <f>ROUND(F18*SQRT(2*9.81*S18/P19),3)</f>
        <v>#DIV/0!</v>
      </c>
      <c r="I17" s="1881"/>
      <c r="J17" s="1881"/>
      <c r="K17" s="1853" t="s">
        <v>568</v>
      </c>
      <c r="L17" s="1853"/>
      <c r="M17" s="670"/>
      <c r="N17" s="670"/>
      <c r="O17" s="670"/>
      <c r="P17" s="670"/>
      <c r="Q17" s="670"/>
      <c r="R17" s="682"/>
      <c r="S17" s="682"/>
      <c r="T17" s="682"/>
      <c r="U17" s="670"/>
      <c r="V17" s="670"/>
      <c r="W17" s="690"/>
      <c r="X17" s="690"/>
      <c r="Y17" s="690"/>
      <c r="Z17" s="690"/>
      <c r="AA17" s="690"/>
      <c r="AB17" s="690"/>
      <c r="AC17" s="690"/>
      <c r="AD17" s="690"/>
      <c r="AE17" s="690"/>
      <c r="AF17" s="690"/>
      <c r="AG17" s="690"/>
      <c r="AH17" s="690"/>
      <c r="AI17" s="690"/>
      <c r="AJ17" s="690"/>
      <c r="AK17" s="690"/>
      <c r="AL17" s="690"/>
      <c r="AM17" s="690"/>
      <c r="AN17" s="690"/>
      <c r="AO17" s="690"/>
      <c r="AP17" s="690"/>
      <c r="AQ17" s="690"/>
      <c r="AR17" s="690"/>
      <c r="AS17" s="690"/>
      <c r="AT17" s="690"/>
      <c r="AU17" s="690"/>
      <c r="AV17" s="690"/>
      <c r="AW17" s="691"/>
    </row>
    <row r="18" spans="1:52" s="688" customFormat="1" ht="21.95" customHeight="1">
      <c r="A18" s="692"/>
      <c r="B18" s="1886" t="s">
        <v>939</v>
      </c>
      <c r="C18" s="1886"/>
      <c r="D18" s="1888" t="s">
        <v>1</v>
      </c>
      <c r="E18" s="1888" t="s">
        <v>86</v>
      </c>
      <c r="F18" s="1890">
        <f>'먼지측정 사전 Data'!H65</f>
        <v>0</v>
      </c>
      <c r="G18" s="1890"/>
      <c r="H18" s="1890"/>
      <c r="I18" s="1886" t="s">
        <v>138</v>
      </c>
      <c r="J18" s="1886" t="s">
        <v>972</v>
      </c>
      <c r="K18" s="659"/>
      <c r="L18" s="1912"/>
      <c r="M18" s="687">
        <v>2</v>
      </c>
      <c r="N18" s="687" t="s">
        <v>972</v>
      </c>
      <c r="O18" s="1878">
        <v>9.81</v>
      </c>
      <c r="P18" s="1878"/>
      <c r="Q18" s="687" t="s">
        <v>972</v>
      </c>
      <c r="R18" s="693" t="s">
        <v>86</v>
      </c>
      <c r="S18" s="1884" t="e">
        <f>'먼지측정 사전 Data'!R70</f>
        <v>#DIV/0!</v>
      </c>
      <c r="T18" s="1884"/>
      <c r="U18" s="1884"/>
      <c r="V18" s="694" t="s">
        <v>138</v>
      </c>
      <c r="AW18" s="689"/>
    </row>
    <row r="19" spans="1:52" s="660" customFormat="1" ht="21.95" customHeight="1">
      <c r="A19" s="692"/>
      <c r="B19" s="1886"/>
      <c r="C19" s="1886"/>
      <c r="D19" s="1888"/>
      <c r="E19" s="1888"/>
      <c r="F19" s="1890"/>
      <c r="G19" s="1890"/>
      <c r="H19" s="1890"/>
      <c r="I19" s="1886"/>
      <c r="J19" s="1886"/>
      <c r="K19" s="739"/>
      <c r="L19" s="1912"/>
      <c r="M19" s="659"/>
      <c r="N19" s="659"/>
      <c r="O19" s="663" t="s">
        <v>86</v>
      </c>
      <c r="P19" s="1835" t="e">
        <f>H14</f>
        <v>#DIV/0!</v>
      </c>
      <c r="Q19" s="1835"/>
      <c r="R19" s="1835"/>
      <c r="S19" s="1835"/>
      <c r="T19" s="661" t="s">
        <v>138</v>
      </c>
      <c r="U19" s="659"/>
      <c r="V19" s="659"/>
      <c r="AW19" s="740"/>
    </row>
    <row r="20" spans="1:52" s="660" customFormat="1" ht="21.95" customHeight="1">
      <c r="A20" s="1885" t="s">
        <v>976</v>
      </c>
      <c r="B20" s="1866"/>
      <c r="C20" s="1866"/>
      <c r="D20" s="1866"/>
      <c r="E20" s="1866"/>
      <c r="F20" s="1866"/>
      <c r="G20" s="1866"/>
      <c r="H20" s="1866"/>
      <c r="I20" s="1866"/>
      <c r="J20" s="1866"/>
      <c r="K20" s="1866"/>
      <c r="L20" s="1866"/>
      <c r="M20" s="1866"/>
      <c r="N20" s="1866"/>
      <c r="O20" s="1866"/>
      <c r="P20" s="1866"/>
      <c r="Q20" s="1860" t="str">
        <f>IF(COUNT('먼지측정 사전 Data'!H72)=0,"",ROUND(F21*(O21/(100-Q22))*18/22.4,2))</f>
        <v/>
      </c>
      <c r="R20" s="1860"/>
      <c r="S20" s="1860"/>
      <c r="T20" s="1860"/>
      <c r="U20" s="1866" t="s">
        <v>977</v>
      </c>
      <c r="V20" s="1866"/>
      <c r="W20" s="670"/>
      <c r="X20" s="670"/>
      <c r="Y20" s="670"/>
      <c r="Z20" s="670"/>
      <c r="AA20" s="670"/>
      <c r="AB20" s="670"/>
      <c r="AC20" s="670"/>
      <c r="AD20" s="670"/>
      <c r="AE20" s="670"/>
      <c r="AF20" s="670"/>
      <c r="AG20" s="670"/>
      <c r="AH20" s="670"/>
      <c r="AI20" s="670"/>
      <c r="AJ20" s="670"/>
      <c r="AK20" s="670"/>
      <c r="AL20" s="670"/>
      <c r="AM20" s="670"/>
      <c r="AN20" s="670"/>
      <c r="AO20" s="670"/>
      <c r="AP20" s="670"/>
      <c r="AQ20" s="670"/>
      <c r="AR20" s="670"/>
      <c r="AS20" s="670"/>
      <c r="AT20" s="670"/>
      <c r="AU20" s="670"/>
      <c r="AV20" s="670"/>
      <c r="AW20" s="671"/>
    </row>
    <row r="21" spans="1:52" s="660" customFormat="1" ht="21.95" customHeight="1">
      <c r="A21" s="692"/>
      <c r="B21" s="1835" t="s">
        <v>978</v>
      </c>
      <c r="C21" s="1835"/>
      <c r="D21" s="1835" t="s">
        <v>1</v>
      </c>
      <c r="E21" s="1835" t="s">
        <v>86</v>
      </c>
      <c r="F21" s="1876" t="str">
        <f>IF(COUNT('먼지측정 사전 Data'!H72)=0,"-",'먼지측정 사전 Data'!R80*1000)</f>
        <v>-</v>
      </c>
      <c r="G21" s="1876"/>
      <c r="H21" s="1876"/>
      <c r="I21" s="1835" t="s">
        <v>138</v>
      </c>
      <c r="J21" s="1835" t="s">
        <v>972</v>
      </c>
      <c r="K21" s="1835" t="s">
        <v>86</v>
      </c>
      <c r="L21" s="664"/>
      <c r="M21" s="664"/>
      <c r="N21" s="664" t="s">
        <v>86</v>
      </c>
      <c r="O21" s="1876" t="str">
        <f>IF(COUNT('먼지측정 사전 Data'!H72)=0,"-",F11)</f>
        <v>-</v>
      </c>
      <c r="P21" s="1876"/>
      <c r="Q21" s="1876"/>
      <c r="R21" s="664" t="s">
        <v>138</v>
      </c>
      <c r="S21" s="664"/>
      <c r="T21" s="664"/>
      <c r="U21" s="1835" t="s">
        <v>138</v>
      </c>
      <c r="V21" s="1835" t="s">
        <v>972</v>
      </c>
      <c r="W21" s="1835">
        <v>18</v>
      </c>
      <c r="X21" s="1835"/>
      <c r="Y21" s="1835"/>
      <c r="AW21" s="675"/>
    </row>
    <row r="22" spans="1:52" s="670" customFormat="1" ht="21.95" customHeight="1">
      <c r="A22" s="692"/>
      <c r="B22" s="1835"/>
      <c r="C22" s="1835"/>
      <c r="D22" s="1835"/>
      <c r="E22" s="1835"/>
      <c r="F22" s="1876"/>
      <c r="G22" s="1876"/>
      <c r="H22" s="1876"/>
      <c r="I22" s="1835"/>
      <c r="J22" s="1835"/>
      <c r="K22" s="1835"/>
      <c r="L22" s="1843">
        <v>100</v>
      </c>
      <c r="M22" s="1843"/>
      <c r="N22" s="1843"/>
      <c r="O22" s="697" t="s">
        <v>158</v>
      </c>
      <c r="P22" s="697" t="s">
        <v>86</v>
      </c>
      <c r="Q22" s="1843" t="str">
        <f>IF(COUNT('먼지측정 사전 Data'!H72)=0,"-",F11)</f>
        <v>-</v>
      </c>
      <c r="R22" s="1843"/>
      <c r="S22" s="1843"/>
      <c r="T22" s="697" t="s">
        <v>138</v>
      </c>
      <c r="U22" s="1835"/>
      <c r="V22" s="1835"/>
      <c r="W22" s="1843">
        <v>22.4</v>
      </c>
      <c r="X22" s="1843"/>
      <c r="Y22" s="1843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60"/>
      <c r="AW22" s="675"/>
    </row>
    <row r="23" spans="1:52" s="660" customFormat="1" ht="21.95" customHeight="1">
      <c r="A23" s="1894" t="s">
        <v>979</v>
      </c>
      <c r="B23" s="1895"/>
      <c r="C23" s="1895"/>
      <c r="D23" s="1895"/>
      <c r="E23" s="1895"/>
      <c r="F23" s="1895"/>
      <c r="G23" s="1895"/>
      <c r="H23" s="1895"/>
      <c r="I23" s="1895"/>
      <c r="J23" s="1895"/>
      <c r="K23" s="1895"/>
      <c r="L23" s="1895"/>
      <c r="M23" s="1863" t="str">
        <f>IF(COUNT('먼지측정 사전 Data'!H72)=0,"",ROUND(F24*(0.00346*N24+S24/X24*(AC24+AH24/13.6))*(1.667*10^4)/(N25*S25*W25*AC25),1))</f>
        <v/>
      </c>
      <c r="N23" s="1863"/>
      <c r="O23" s="1863"/>
      <c r="P23" s="1863"/>
      <c r="Q23" s="696" t="s">
        <v>41</v>
      </c>
      <c r="R23" s="670"/>
      <c r="S23" s="670"/>
      <c r="T23" s="670"/>
      <c r="U23" s="670"/>
      <c r="V23" s="670"/>
      <c r="W23" s="670"/>
      <c r="X23" s="670"/>
      <c r="Y23" s="697"/>
      <c r="Z23" s="697"/>
      <c r="AA23" s="697"/>
      <c r="AB23" s="697"/>
      <c r="AC23" s="697"/>
      <c r="AD23" s="697"/>
      <c r="AE23" s="697"/>
      <c r="AF23" s="697"/>
      <c r="AG23" s="697"/>
      <c r="AH23" s="697"/>
      <c r="AI23" s="697"/>
      <c r="AJ23" s="697"/>
      <c r="AK23" s="697"/>
      <c r="AL23" s="697"/>
      <c r="AM23" s="697"/>
      <c r="AN23" s="697"/>
      <c r="AO23" s="697"/>
      <c r="AP23" s="697"/>
      <c r="AQ23" s="697"/>
      <c r="AR23" s="697"/>
      <c r="AS23" s="697"/>
      <c r="AT23" s="697"/>
      <c r="AU23" s="697"/>
      <c r="AV23" s="697"/>
      <c r="AW23" s="671"/>
    </row>
    <row r="24" spans="1:52" s="660" customFormat="1" ht="21.95" customHeight="1">
      <c r="A24" s="692"/>
      <c r="B24" s="1835" t="s">
        <v>980</v>
      </c>
      <c r="C24" s="1835"/>
      <c r="D24" s="1835" t="s">
        <v>1</v>
      </c>
      <c r="E24" s="663" t="s">
        <v>86</v>
      </c>
      <c r="F24" s="1913" t="str">
        <f>IF(COUNT('먼지측정 사전 Data'!H72)=0,"-",ROUND(273+'먼지측정 사전 Data'!R69,2))</f>
        <v>-</v>
      </c>
      <c r="G24" s="1913"/>
      <c r="H24" s="1913"/>
      <c r="I24" s="664" t="s">
        <v>981</v>
      </c>
      <c r="J24" s="1914" t="s">
        <v>982</v>
      </c>
      <c r="K24" s="1914"/>
      <c r="L24" s="1914"/>
      <c r="M24" s="1914"/>
      <c r="N24" s="1876" t="str">
        <f>IF(COUNT('먼지측정 사전 Data'!H72)=0,"-",Q20)</f>
        <v>-</v>
      </c>
      <c r="O24" s="1876"/>
      <c r="P24" s="664" t="s">
        <v>138</v>
      </c>
      <c r="Q24" s="664" t="s">
        <v>56</v>
      </c>
      <c r="R24" s="664" t="s">
        <v>86</v>
      </c>
      <c r="S24" s="1914" t="str">
        <f>IF(COUNT('먼지측정 사전 Data'!H72)=0,"-",'먼지측정 사전 Data'!R80)</f>
        <v>-</v>
      </c>
      <c r="T24" s="1914"/>
      <c r="U24" s="1914"/>
      <c r="V24" s="1835" t="s">
        <v>983</v>
      </c>
      <c r="W24" s="1835"/>
      <c r="X24" s="1913" t="str">
        <f>IF(COUNT('먼지측정 사전 Data'!H72)=0,"-",ROUND(273+'먼지측정 사전 Data'!R74,2))</f>
        <v>-</v>
      </c>
      <c r="Y24" s="1913"/>
      <c r="Z24" s="1913"/>
      <c r="AA24" s="1835" t="s">
        <v>984</v>
      </c>
      <c r="AB24" s="1835"/>
      <c r="AC24" s="1835" t="str">
        <f>IF(COUNT('먼지측정 사전 Data'!H72)=0,"-",'먼지측정 사전 Data'!H20)</f>
        <v>-</v>
      </c>
      <c r="AD24" s="1835"/>
      <c r="AE24" s="1835"/>
      <c r="AF24" s="1835" t="s">
        <v>985</v>
      </c>
      <c r="AG24" s="1835"/>
      <c r="AH24" s="1835" t="str">
        <f>IF(COUNT('먼지측정 사전 Data'!H72)=0,"-",'먼지측정 사전 Data'!R86)</f>
        <v>-</v>
      </c>
      <c r="AI24" s="1835"/>
      <c r="AJ24" s="1835"/>
      <c r="AK24" s="664" t="s">
        <v>138</v>
      </c>
      <c r="AL24" s="664" t="s">
        <v>484</v>
      </c>
      <c r="AM24" s="1913">
        <v>13.6</v>
      </c>
      <c r="AN24" s="1913"/>
      <c r="AO24" s="684" t="s">
        <v>986</v>
      </c>
      <c r="AP24" s="1835" t="s">
        <v>972</v>
      </c>
      <c r="AQ24" s="1898" t="s">
        <v>987</v>
      </c>
      <c r="AR24" s="1898"/>
      <c r="AS24" s="1898"/>
      <c r="AT24" s="1835" t="s">
        <v>972</v>
      </c>
      <c r="AU24" s="1835" t="s">
        <v>988</v>
      </c>
      <c r="AV24" s="1835"/>
      <c r="AW24" s="675"/>
    </row>
    <row r="25" spans="1:52" s="660" customFormat="1" ht="21.95" customHeight="1">
      <c r="A25" s="701"/>
      <c r="B25" s="1865"/>
      <c r="C25" s="1865"/>
      <c r="D25" s="1865"/>
      <c r="E25" s="687"/>
      <c r="F25" s="687"/>
      <c r="G25" s="687"/>
      <c r="H25" s="687"/>
      <c r="I25" s="687"/>
      <c r="J25" s="687"/>
      <c r="K25" s="687"/>
      <c r="L25" s="687"/>
      <c r="M25" s="687" t="s">
        <v>86</v>
      </c>
      <c r="N25" s="1915" t="str">
        <f>IF(COUNT('먼지측정 사전 Data'!H72)=0,"-",ROUND('먼지측정 사전 Data'!U71+'먼지측정 사전 Data'!H20,2))</f>
        <v>-</v>
      </c>
      <c r="O25" s="1915"/>
      <c r="P25" s="1915"/>
      <c r="Q25" s="1878" t="s">
        <v>989</v>
      </c>
      <c r="R25" s="1878"/>
      <c r="S25" s="1878" t="str">
        <f>IF(COUNT('먼지측정 사전 Data'!H72)=0,"-",'먼지측정 사전 Data'!R75)</f>
        <v>-</v>
      </c>
      <c r="T25" s="1878"/>
      <c r="U25" s="1878" t="s">
        <v>989</v>
      </c>
      <c r="V25" s="1878"/>
      <c r="W25" s="1878" t="str">
        <f>IF(COUNT('먼지측정 사전 Data'!H72)=0,"-",'먼지측정 사전 Data'!R82)</f>
        <v>-</v>
      </c>
      <c r="X25" s="1878"/>
      <c r="Y25" s="1878"/>
      <c r="Z25" s="1878"/>
      <c r="AA25" s="1878" t="s">
        <v>989</v>
      </c>
      <c r="AB25" s="1878"/>
      <c r="AC25" s="1878" t="str">
        <f>IF(COUNT('먼지측정 사전 Data'!H72)=0,"-",'먼지측정 사전 Data'!U84)</f>
        <v>-</v>
      </c>
      <c r="AD25" s="1878"/>
      <c r="AE25" s="1878"/>
      <c r="AF25" s="687" t="s">
        <v>138</v>
      </c>
      <c r="AG25" s="687"/>
      <c r="AH25" s="687"/>
      <c r="AI25" s="687"/>
      <c r="AJ25" s="687"/>
      <c r="AK25" s="687"/>
      <c r="AL25" s="687"/>
      <c r="AM25" s="687"/>
      <c r="AN25" s="687"/>
      <c r="AO25" s="687"/>
      <c r="AP25" s="1865"/>
      <c r="AQ25" s="1899"/>
      <c r="AR25" s="1899"/>
      <c r="AS25" s="1899"/>
      <c r="AT25" s="1865"/>
      <c r="AU25" s="1865"/>
      <c r="AV25" s="1865"/>
      <c r="AW25" s="702"/>
    </row>
    <row r="26" spans="1:52" s="660" customFormat="1" ht="21.95" customHeight="1">
      <c r="AW26" s="697"/>
    </row>
    <row r="27" spans="1:52" s="660" customFormat="1" ht="21.95" customHeight="1">
      <c r="A27" s="659"/>
      <c r="B27" s="1838" t="s">
        <v>781</v>
      </c>
      <c r="C27" s="1838"/>
      <c r="D27" s="1838"/>
      <c r="E27" s="1838"/>
      <c r="F27" s="1838"/>
      <c r="G27" s="1838"/>
      <c r="P27" s="659"/>
      <c r="Q27" s="659"/>
      <c r="R27" s="659"/>
      <c r="S27" s="659"/>
      <c r="T27" s="659"/>
      <c r="U27" s="659"/>
      <c r="V27" s="659"/>
      <c r="AK27" s="659"/>
      <c r="AX27" s="673"/>
      <c r="AY27" s="673"/>
      <c r="AZ27" s="673"/>
    </row>
    <row r="28" spans="1:52" s="660" customFormat="1" ht="21.95" customHeight="1">
      <c r="A28" s="1854" t="s">
        <v>990</v>
      </c>
      <c r="B28" s="1854"/>
      <c r="C28" s="1854"/>
      <c r="D28" s="1854"/>
      <c r="E28" s="1854"/>
      <c r="F28" s="1854"/>
      <c r="G28" s="672"/>
      <c r="I28" s="672"/>
      <c r="J28" s="672"/>
      <c r="K28" s="672"/>
      <c r="L28" s="672"/>
      <c r="M28" s="1900" t="s">
        <v>992</v>
      </c>
      <c r="N28" s="1900"/>
      <c r="O28" s="1900"/>
      <c r="P28" s="1900"/>
      <c r="Q28" s="1900"/>
      <c r="R28" s="1900"/>
      <c r="S28" s="1900"/>
      <c r="T28" s="1900"/>
      <c r="U28" s="1900"/>
      <c r="AB28" s="1900" t="s">
        <v>993</v>
      </c>
      <c r="AC28" s="1900"/>
      <c r="AD28" s="1900"/>
      <c r="AE28" s="1900"/>
      <c r="AF28" s="1900"/>
      <c r="AG28" s="1900"/>
      <c r="AH28" s="1900"/>
      <c r="AI28" s="1900"/>
    </row>
    <row r="29" spans="1:52" s="660" customFormat="1" ht="21.95" customHeight="1">
      <c r="B29" s="1901" t="s">
        <v>200</v>
      </c>
      <c r="C29" s="1901"/>
      <c r="D29" s="1852" t="s">
        <v>201</v>
      </c>
      <c r="E29" s="1852" t="s">
        <v>1048</v>
      </c>
      <c r="F29" s="1852"/>
      <c r="G29" s="1852"/>
      <c r="H29" s="1852"/>
      <c r="I29" s="1852" t="s">
        <v>972</v>
      </c>
      <c r="J29" s="1854">
        <v>100</v>
      </c>
      <c r="K29" s="1854"/>
      <c r="L29" s="672"/>
      <c r="N29" s="1835" t="s">
        <v>75</v>
      </c>
      <c r="O29" s="1835" t="s">
        <v>1</v>
      </c>
      <c r="P29" s="1852" t="s">
        <v>861</v>
      </c>
      <c r="Q29" s="1835" t="s">
        <v>972</v>
      </c>
      <c r="R29" s="1835">
        <v>273</v>
      </c>
      <c r="S29" s="1835"/>
      <c r="T29" s="1835"/>
      <c r="U29" s="1835"/>
      <c r="V29" s="1835" t="s">
        <v>972</v>
      </c>
      <c r="W29" s="1852" t="s">
        <v>620</v>
      </c>
      <c r="X29" s="1852"/>
      <c r="Y29" s="1852"/>
      <c r="Z29" s="1852"/>
      <c r="AC29" s="1835" t="s">
        <v>939</v>
      </c>
      <c r="AD29" s="1838" t="s">
        <v>1</v>
      </c>
      <c r="AE29" s="663" t="s">
        <v>73</v>
      </c>
      <c r="AF29" s="1912"/>
      <c r="AG29" s="693" t="s">
        <v>86</v>
      </c>
      <c r="AH29" s="1878" t="s">
        <v>74</v>
      </c>
      <c r="AI29" s="1878"/>
      <c r="AJ29" s="694" t="s">
        <v>138</v>
      </c>
    </row>
    <row r="30" spans="1:52" s="660" customFormat="1" ht="21.95" customHeight="1">
      <c r="B30" s="1901"/>
      <c r="C30" s="1901"/>
      <c r="D30" s="1852"/>
      <c r="E30" s="1851" t="s">
        <v>1032</v>
      </c>
      <c r="F30" s="1851"/>
      <c r="G30" s="1851"/>
      <c r="H30" s="1851"/>
      <c r="I30" s="1852"/>
      <c r="J30" s="1854"/>
      <c r="K30" s="1854"/>
      <c r="L30" s="672"/>
      <c r="N30" s="1835"/>
      <c r="O30" s="1835"/>
      <c r="P30" s="1852"/>
      <c r="Q30" s="1835"/>
      <c r="R30" s="1843" t="s">
        <v>995</v>
      </c>
      <c r="S30" s="1843"/>
      <c r="T30" s="1843"/>
      <c r="U30" s="1843"/>
      <c r="V30" s="1835"/>
      <c r="W30" s="1843">
        <v>760</v>
      </c>
      <c r="X30" s="1843"/>
      <c r="Y30" s="1843"/>
      <c r="Z30" s="1843"/>
      <c r="AC30" s="1835"/>
      <c r="AD30" s="1838"/>
      <c r="AE30" s="739"/>
      <c r="AF30" s="1912"/>
      <c r="AG30" s="682"/>
      <c r="AH30" s="1843" t="s">
        <v>75</v>
      </c>
      <c r="AI30" s="1843"/>
      <c r="AJ30" s="682"/>
    </row>
    <row r="31" spans="1:52" s="660" customFormat="1" ht="21.95" customHeight="1">
      <c r="A31" s="1900" t="s">
        <v>996</v>
      </c>
      <c r="B31" s="1900"/>
      <c r="C31" s="1900"/>
      <c r="D31" s="1900"/>
      <c r="E31" s="1900"/>
      <c r="F31" s="1900"/>
      <c r="G31" s="1900"/>
      <c r="H31" s="1900"/>
      <c r="I31" s="1900"/>
      <c r="J31" s="1900"/>
      <c r="K31" s="1900"/>
      <c r="L31" s="1900"/>
      <c r="M31" s="1900"/>
      <c r="N31" s="1900"/>
      <c r="O31" s="1900"/>
      <c r="P31" s="1900"/>
      <c r="Q31" s="1900"/>
      <c r="R31" s="1900"/>
      <c r="S31" s="672"/>
      <c r="T31" s="1838" t="s">
        <v>997</v>
      </c>
      <c r="U31" s="1838"/>
      <c r="V31" s="1838"/>
      <c r="W31" s="1838"/>
      <c r="X31" s="1838"/>
      <c r="Y31" s="1838"/>
      <c r="Z31" s="1838"/>
      <c r="AA31" s="1838"/>
      <c r="AB31" s="1838"/>
      <c r="AC31" s="1838"/>
      <c r="AD31" s="1838"/>
      <c r="AE31" s="1838"/>
      <c r="AF31" s="1838"/>
    </row>
    <row r="32" spans="1:52" s="660" customFormat="1" ht="18" customHeight="1">
      <c r="B32" s="1835" t="s">
        <v>978</v>
      </c>
      <c r="C32" s="1835"/>
      <c r="D32" s="1835" t="s">
        <v>1</v>
      </c>
      <c r="E32" s="1835" t="s">
        <v>998</v>
      </c>
      <c r="F32" s="1835"/>
      <c r="G32" s="1835" t="s">
        <v>999</v>
      </c>
      <c r="H32" s="1835"/>
      <c r="I32" s="1835" t="s">
        <v>136</v>
      </c>
      <c r="J32" s="1835"/>
      <c r="K32" s="1835"/>
      <c r="L32" s="1835"/>
      <c r="M32" s="1835" t="s">
        <v>1000</v>
      </c>
      <c r="N32" s="1835"/>
      <c r="O32" s="1835">
        <v>18</v>
      </c>
      <c r="P32" s="1835"/>
      <c r="U32" s="1852" t="s">
        <v>980</v>
      </c>
      <c r="V32" s="1852"/>
      <c r="W32" s="1852" t="s">
        <v>1</v>
      </c>
      <c r="X32" s="1835" t="s">
        <v>1001</v>
      </c>
      <c r="Y32" s="1835"/>
      <c r="Z32" s="1835"/>
      <c r="AA32" s="1835"/>
      <c r="AB32" s="1835"/>
      <c r="AC32" s="1835"/>
      <c r="AD32" s="1835"/>
      <c r="AE32" s="1835"/>
      <c r="AF32" s="1835"/>
      <c r="AG32" s="1835"/>
      <c r="AH32" s="1835"/>
      <c r="AI32" s="1835"/>
      <c r="AJ32" s="1835"/>
      <c r="AK32" s="1835"/>
      <c r="AL32" s="1835"/>
      <c r="AM32" s="1835" t="s">
        <v>972</v>
      </c>
      <c r="AN32" s="1904" t="s">
        <v>86</v>
      </c>
      <c r="AO32" s="1898" t="s">
        <v>1002</v>
      </c>
      <c r="AP32" s="1898"/>
      <c r="AQ32" s="1898"/>
      <c r="AR32" s="1898"/>
      <c r="AS32" s="1898"/>
      <c r="AT32" s="1838" t="s">
        <v>138</v>
      </c>
    </row>
    <row r="33" spans="1:79" s="660" customFormat="1" ht="18" customHeight="1">
      <c r="B33" s="1835"/>
      <c r="C33" s="1835"/>
      <c r="D33" s="1835"/>
      <c r="E33" s="1835"/>
      <c r="F33" s="1835"/>
      <c r="G33" s="1835"/>
      <c r="H33" s="1835"/>
      <c r="I33" s="1843" t="s">
        <v>1003</v>
      </c>
      <c r="J33" s="1843"/>
      <c r="K33" s="1843"/>
      <c r="L33" s="1843"/>
      <c r="M33" s="1835"/>
      <c r="N33" s="1835"/>
      <c r="O33" s="1903">
        <v>22.4</v>
      </c>
      <c r="P33" s="1903"/>
      <c r="U33" s="1852"/>
      <c r="V33" s="1852"/>
      <c r="W33" s="1852"/>
      <c r="X33" s="1862" t="s">
        <v>621</v>
      </c>
      <c r="Y33" s="1862"/>
      <c r="Z33" s="1862"/>
      <c r="AA33" s="1862"/>
      <c r="AB33" s="1862"/>
      <c r="AC33" s="1862"/>
      <c r="AD33" s="1862"/>
      <c r="AE33" s="1862"/>
      <c r="AF33" s="1862"/>
      <c r="AG33" s="1862"/>
      <c r="AH33" s="1862"/>
      <c r="AI33" s="1862"/>
      <c r="AJ33" s="1862"/>
      <c r="AK33" s="1862"/>
      <c r="AL33" s="1862"/>
      <c r="AM33" s="1835"/>
      <c r="AN33" s="1904"/>
      <c r="AO33" s="1898"/>
      <c r="AP33" s="1898"/>
      <c r="AQ33" s="1898"/>
      <c r="AR33" s="1898"/>
      <c r="AS33" s="1898"/>
      <c r="AT33" s="1838"/>
    </row>
    <row r="34" spans="1:79" s="660" customFormat="1" ht="18" customHeight="1">
      <c r="AY34" s="1902"/>
      <c r="AZ34" s="1902"/>
    </row>
    <row r="35" spans="1:79" s="660" customFormat="1" ht="18" customHeight="1">
      <c r="A35" s="1902" t="s">
        <v>267</v>
      </c>
      <c r="B35" s="1902"/>
      <c r="C35" s="1901" t="s">
        <v>1004</v>
      </c>
      <c r="D35" s="1901"/>
      <c r="E35" s="1901"/>
      <c r="F35" s="1901"/>
      <c r="G35" s="1901"/>
      <c r="H35" s="1901"/>
      <c r="I35" s="1901"/>
      <c r="J35" s="1901"/>
      <c r="K35" s="1901"/>
      <c r="L35" s="1901"/>
      <c r="M35" s="1901"/>
      <c r="N35" s="1901"/>
      <c r="O35" s="1901"/>
      <c r="P35" s="1901"/>
      <c r="Q35" s="1902" t="s">
        <v>1047</v>
      </c>
      <c r="R35" s="1902"/>
      <c r="S35" s="1901" t="s">
        <v>1046</v>
      </c>
      <c r="T35" s="1901"/>
      <c r="U35" s="1901"/>
      <c r="V35" s="1901"/>
      <c r="W35" s="1901"/>
      <c r="X35" s="1901"/>
      <c r="Y35" s="1901"/>
      <c r="Z35" s="1901"/>
      <c r="AA35" s="1901"/>
      <c r="AB35" s="1901"/>
      <c r="AC35" s="1901"/>
      <c r="AD35" s="1901"/>
      <c r="AE35" s="1901"/>
      <c r="AF35" s="1901"/>
      <c r="AG35" s="1901"/>
      <c r="AH35" s="1902" t="s">
        <v>251</v>
      </c>
      <c r="AI35" s="1902"/>
      <c r="AJ35" s="1901" t="s">
        <v>252</v>
      </c>
      <c r="AK35" s="1901"/>
      <c r="AL35" s="1901"/>
      <c r="AM35" s="1901"/>
      <c r="AN35" s="1901"/>
      <c r="AO35" s="1901"/>
      <c r="AP35" s="1901"/>
      <c r="AQ35" s="1901"/>
      <c r="AR35" s="1901"/>
      <c r="AS35" s="1901"/>
      <c r="AT35" s="1901"/>
    </row>
    <row r="36" spans="1:79" s="660" customFormat="1" ht="18" customHeight="1">
      <c r="A36" s="1902" t="s">
        <v>279</v>
      </c>
      <c r="B36" s="1902"/>
      <c r="C36" s="1901" t="s">
        <v>259</v>
      </c>
      <c r="D36" s="1901"/>
      <c r="E36" s="1901"/>
      <c r="F36" s="1901"/>
      <c r="G36" s="1901"/>
      <c r="H36" s="1901"/>
      <c r="I36" s="1901"/>
      <c r="J36" s="1901"/>
      <c r="K36" s="1901"/>
      <c r="L36" s="1901"/>
      <c r="M36" s="1901"/>
      <c r="N36" s="1901"/>
      <c r="O36" s="1901"/>
      <c r="P36" s="1901"/>
      <c r="Q36" s="1901"/>
      <c r="R36" s="1901"/>
      <c r="S36" s="1901"/>
    </row>
    <row r="37" spans="1:79" s="660" customFormat="1" ht="18" customHeight="1"/>
    <row r="38" spans="1:79" s="660" customFormat="1" ht="18" customHeight="1">
      <c r="A38" s="1902" t="s">
        <v>864</v>
      </c>
      <c r="B38" s="1902"/>
      <c r="C38" s="1901" t="s">
        <v>1007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N38" s="1901"/>
      <c r="O38" s="1901"/>
      <c r="P38" s="1901"/>
      <c r="Q38" s="1901"/>
      <c r="R38" s="1901"/>
      <c r="S38" s="1901"/>
      <c r="T38" s="1902" t="s">
        <v>260</v>
      </c>
      <c r="U38" s="1902"/>
      <c r="V38" s="672" t="s">
        <v>261</v>
      </c>
      <c r="AK38" s="1902" t="s">
        <v>251</v>
      </c>
      <c r="AL38" s="1902"/>
      <c r="AM38" s="1901" t="s">
        <v>252</v>
      </c>
      <c r="AN38" s="1901"/>
      <c r="AO38" s="1901"/>
      <c r="AP38" s="1901"/>
      <c r="AQ38" s="1901"/>
      <c r="AR38" s="1901"/>
      <c r="AS38" s="1901"/>
      <c r="AT38" s="1901"/>
      <c r="AU38" s="1901"/>
      <c r="AV38" s="1901"/>
      <c r="AW38" s="1901"/>
    </row>
    <row r="39" spans="1:79" s="660" customFormat="1" ht="18" customHeight="1">
      <c r="A39" s="1902" t="s">
        <v>279</v>
      </c>
      <c r="B39" s="1902"/>
      <c r="C39" s="1901" t="s">
        <v>259</v>
      </c>
      <c r="D39" s="1901"/>
      <c r="E39" s="1901"/>
      <c r="F39" s="1901"/>
      <c r="G39" s="1901"/>
      <c r="H39" s="1901"/>
      <c r="I39" s="1901"/>
      <c r="J39" s="1901"/>
      <c r="K39" s="1901"/>
      <c r="L39" s="1901"/>
      <c r="M39" s="1901"/>
      <c r="N39" s="1901"/>
      <c r="O39" s="1901"/>
      <c r="P39" s="1901"/>
      <c r="Q39" s="1901"/>
      <c r="R39" s="1901"/>
      <c r="S39" s="1901"/>
    </row>
    <row r="40" spans="1:79" s="660" customFormat="1" ht="18" customHeight="1"/>
    <row r="41" spans="1:79" s="660" customFormat="1" ht="18" customHeight="1">
      <c r="A41" s="1902" t="s">
        <v>1043</v>
      </c>
      <c r="B41" s="1902"/>
      <c r="C41" s="1901" t="s">
        <v>282</v>
      </c>
      <c r="D41" s="1901"/>
      <c r="E41" s="1901"/>
      <c r="F41" s="1901"/>
      <c r="G41" s="1901"/>
      <c r="H41" s="1901"/>
      <c r="I41" s="1901"/>
      <c r="J41" s="1901"/>
      <c r="K41" s="1901"/>
      <c r="L41" s="672" t="s">
        <v>803</v>
      </c>
      <c r="M41" s="672" t="s">
        <v>257</v>
      </c>
      <c r="R41" s="672" t="s">
        <v>262</v>
      </c>
      <c r="S41" s="1901" t="s">
        <v>1008</v>
      </c>
      <c r="T41" s="1901"/>
      <c r="U41" s="1901"/>
      <c r="V41" s="1901"/>
      <c r="W41" s="1901"/>
      <c r="X41" s="1901"/>
      <c r="Y41" s="1901"/>
      <c r="Z41" s="1901"/>
      <c r="AA41" s="672" t="s">
        <v>263</v>
      </c>
      <c r="AB41" s="672" t="s">
        <v>867</v>
      </c>
      <c r="AC41" s="672"/>
      <c r="AE41" s="672"/>
      <c r="AG41" s="672"/>
      <c r="AH41" s="672"/>
      <c r="AI41" s="672"/>
      <c r="AJ41" s="672"/>
      <c r="AK41" s="672"/>
      <c r="AL41" s="672"/>
      <c r="AM41" s="672"/>
      <c r="AN41" s="672"/>
      <c r="AO41" s="672"/>
    </row>
    <row r="42" spans="1:79" s="660" customFormat="1" ht="18" customHeight="1">
      <c r="A42" s="1902" t="s">
        <v>264</v>
      </c>
      <c r="B42" s="1902"/>
      <c r="C42" s="1901" t="s">
        <v>1009</v>
      </c>
      <c r="D42" s="1901"/>
      <c r="E42" s="1901"/>
      <c r="F42" s="1901"/>
      <c r="G42" s="1901"/>
      <c r="H42" s="1901"/>
      <c r="I42" s="1901"/>
      <c r="J42" s="1901"/>
      <c r="K42" s="1901"/>
      <c r="L42" s="1901"/>
      <c r="M42" s="1901"/>
      <c r="N42" s="1901"/>
    </row>
    <row r="43" spans="1:79" s="660" customFormat="1" ht="18" customHeight="1"/>
    <row r="44" spans="1:79" s="660" customFormat="1" ht="18" customHeight="1">
      <c r="A44" s="1902" t="s">
        <v>271</v>
      </c>
      <c r="B44" s="1902"/>
      <c r="C44" s="672" t="s">
        <v>272</v>
      </c>
      <c r="R44" s="1902" t="s">
        <v>265</v>
      </c>
      <c r="S44" s="1902"/>
      <c r="T44" s="1901" t="s">
        <v>1055</v>
      </c>
      <c r="U44" s="1901"/>
      <c r="V44" s="1901"/>
      <c r="W44" s="1901"/>
      <c r="X44" s="1901"/>
      <c r="Y44" s="1901"/>
      <c r="Z44" s="1901"/>
      <c r="AA44" s="1901"/>
      <c r="AB44" s="1901"/>
      <c r="AC44" s="1901"/>
      <c r="AD44" s="1901"/>
      <c r="AE44" s="1901"/>
      <c r="AF44" s="1901"/>
      <c r="AG44" s="1901"/>
      <c r="AH44" s="1902" t="s">
        <v>267</v>
      </c>
      <c r="AI44" s="1902"/>
      <c r="AJ44" s="1901" t="s">
        <v>1004</v>
      </c>
      <c r="AK44" s="1901"/>
      <c r="AL44" s="1901"/>
      <c r="AM44" s="1901"/>
      <c r="AN44" s="1901"/>
      <c r="AO44" s="1901"/>
      <c r="AP44" s="1901"/>
      <c r="AQ44" s="1901"/>
      <c r="AR44" s="1901"/>
      <c r="AS44" s="1901"/>
      <c r="AT44" s="1901"/>
      <c r="AU44" s="1901"/>
      <c r="AV44" s="1901"/>
      <c r="AW44" s="1901"/>
    </row>
    <row r="45" spans="1:79" s="660" customFormat="1" ht="18" customHeight="1"/>
    <row r="46" spans="1:79" s="660" customFormat="1" ht="18" customHeight="1">
      <c r="A46" s="1902" t="s">
        <v>269</v>
      </c>
      <c r="B46" s="1902"/>
      <c r="C46" s="1901" t="s">
        <v>1056</v>
      </c>
      <c r="D46" s="1901"/>
      <c r="E46" s="1901"/>
      <c r="F46" s="1901"/>
      <c r="G46" s="1901"/>
      <c r="H46" s="1901"/>
      <c r="I46" s="1901"/>
      <c r="J46" s="1901"/>
      <c r="K46" s="1901"/>
      <c r="L46" s="1901"/>
      <c r="M46" s="1901"/>
      <c r="N46" s="1901"/>
      <c r="O46" s="1901"/>
      <c r="P46" s="1902" t="s">
        <v>271</v>
      </c>
      <c r="Q46" s="1902"/>
      <c r="R46" s="1854" t="s">
        <v>1057</v>
      </c>
      <c r="S46" s="1854"/>
      <c r="T46" s="1854"/>
      <c r="U46" s="1854"/>
      <c r="V46" s="1854"/>
      <c r="W46" s="1854"/>
      <c r="X46" s="1854"/>
      <c r="Y46" s="1854"/>
      <c r="Z46" s="1854"/>
      <c r="AA46" s="1854"/>
      <c r="AB46" s="1854"/>
      <c r="AC46" s="1854"/>
      <c r="AD46" s="1854"/>
      <c r="AE46" s="1854"/>
      <c r="AF46" s="1905" t="s">
        <v>273</v>
      </c>
      <c r="AG46" s="1905"/>
      <c r="AH46" s="1854" t="s">
        <v>1058</v>
      </c>
      <c r="AI46" s="1854"/>
      <c r="AJ46" s="1854"/>
      <c r="AK46" s="1854"/>
      <c r="AL46" s="1854"/>
      <c r="AM46" s="1854"/>
      <c r="AN46" s="1854"/>
      <c r="AO46" s="1854"/>
      <c r="AP46" s="1854"/>
      <c r="AQ46" s="1854"/>
      <c r="AR46" s="1854"/>
      <c r="AS46" s="1854"/>
      <c r="AT46" s="1854"/>
      <c r="AU46" s="1854"/>
      <c r="AV46" s="1854"/>
      <c r="AW46" s="672"/>
      <c r="AZ46" s="659"/>
      <c r="BA46" s="659"/>
      <c r="BB46" s="659"/>
      <c r="BC46" s="659"/>
      <c r="BD46" s="659"/>
      <c r="BE46" s="659"/>
      <c r="BF46" s="659"/>
      <c r="BG46" s="659"/>
      <c r="BH46" s="659"/>
    </row>
    <row r="47" spans="1:79">
      <c r="A47" s="1902" t="s">
        <v>1010</v>
      </c>
      <c r="B47" s="1902"/>
      <c r="C47" s="1854" t="s">
        <v>1059</v>
      </c>
      <c r="D47" s="1854"/>
      <c r="E47" s="1854"/>
      <c r="F47" s="1854"/>
      <c r="G47" s="1854"/>
      <c r="H47" s="1854"/>
      <c r="I47" s="1854"/>
      <c r="J47" s="1854"/>
      <c r="K47" s="1854"/>
      <c r="L47" s="1854"/>
      <c r="M47" s="1854"/>
      <c r="N47" s="1854"/>
      <c r="O47" s="1854"/>
      <c r="P47" s="1854"/>
      <c r="Q47" s="1854"/>
      <c r="R47" s="1854"/>
      <c r="S47" s="1902" t="s">
        <v>251</v>
      </c>
      <c r="T47" s="1902"/>
      <c r="U47" s="1854" t="s">
        <v>252</v>
      </c>
      <c r="V47" s="1854"/>
      <c r="W47" s="1854"/>
      <c r="X47" s="1854"/>
      <c r="Y47" s="1854"/>
      <c r="Z47" s="1854"/>
      <c r="AA47" s="1854"/>
      <c r="AB47" s="1854"/>
      <c r="AC47" s="1854"/>
      <c r="AD47" s="1854"/>
      <c r="AE47" s="1854"/>
      <c r="AF47" s="1901" t="s">
        <v>276</v>
      </c>
      <c r="AG47" s="1901"/>
      <c r="AH47" s="1854" t="s">
        <v>870</v>
      </c>
      <c r="AI47" s="1854"/>
      <c r="AJ47" s="1854"/>
      <c r="AK47" s="1854"/>
      <c r="AL47" s="1854"/>
      <c r="AM47" s="1854"/>
      <c r="AN47" s="1854"/>
      <c r="AO47" s="1854"/>
      <c r="AP47" s="1854"/>
      <c r="AV47" s="660"/>
      <c r="AW47" s="660"/>
      <c r="AX47" s="741"/>
      <c r="AY47" s="659"/>
      <c r="AZ47" s="659"/>
      <c r="BA47" s="659"/>
      <c r="BB47" s="659"/>
      <c r="BC47" s="659"/>
      <c r="BD47" s="659"/>
      <c r="BE47" s="659"/>
      <c r="BF47" s="659"/>
      <c r="BG47" s="659"/>
      <c r="BH47" s="659"/>
      <c r="BI47" s="660"/>
      <c r="BJ47" s="660"/>
      <c r="BK47" s="660"/>
      <c r="BL47" s="660"/>
      <c r="BM47" s="660"/>
      <c r="BN47" s="660"/>
      <c r="BO47" s="660"/>
      <c r="BP47" s="660"/>
      <c r="BQ47" s="660"/>
      <c r="BR47" s="660"/>
      <c r="BS47" s="660"/>
      <c r="BT47" s="660"/>
      <c r="BU47" s="660"/>
      <c r="BV47" s="660"/>
      <c r="BW47" s="660"/>
      <c r="BX47" s="660"/>
      <c r="BY47" s="660"/>
      <c r="BZ47" s="660"/>
      <c r="CA47" s="660"/>
    </row>
    <row r="48" spans="1:79">
      <c r="A48" s="1902" t="s">
        <v>258</v>
      </c>
      <c r="B48" s="1902"/>
      <c r="C48" s="1852" t="s">
        <v>1060</v>
      </c>
      <c r="D48" s="1852"/>
      <c r="E48" s="1852"/>
      <c r="F48" s="1852"/>
      <c r="G48" s="1852"/>
      <c r="H48" s="1852"/>
      <c r="I48" s="1852"/>
      <c r="J48" s="1852"/>
      <c r="K48" s="1852"/>
      <c r="L48" s="1852"/>
      <c r="M48" s="1852"/>
      <c r="N48" s="1902" t="s">
        <v>277</v>
      </c>
      <c r="O48" s="1902"/>
      <c r="P48" s="1901" t="s">
        <v>1011</v>
      </c>
      <c r="Q48" s="1901"/>
      <c r="R48" s="1901"/>
      <c r="S48" s="1901"/>
      <c r="T48" s="1901"/>
      <c r="U48" s="1901"/>
      <c r="V48" s="1901"/>
      <c r="W48" s="1901"/>
      <c r="X48" s="1902" t="s">
        <v>281</v>
      </c>
      <c r="Y48" s="1902"/>
      <c r="Z48" s="1901" t="s">
        <v>1061</v>
      </c>
      <c r="AA48" s="1901"/>
      <c r="AB48" s="1901"/>
      <c r="AC48" s="1901"/>
      <c r="AD48" s="1901"/>
      <c r="AE48" s="1901"/>
      <c r="AF48" s="1901"/>
      <c r="AG48" s="1901"/>
      <c r="AH48" s="1902" t="s">
        <v>280</v>
      </c>
      <c r="AI48" s="1902"/>
      <c r="AJ48" s="1901" t="s">
        <v>871</v>
      </c>
      <c r="AK48" s="1901"/>
      <c r="AL48" s="1901"/>
      <c r="AM48" s="1901"/>
      <c r="AN48" s="1901"/>
      <c r="AO48" s="1901"/>
      <c r="AP48" s="1901"/>
      <c r="AW48" s="660"/>
      <c r="AX48" s="741"/>
      <c r="AY48" s="659"/>
      <c r="AZ48" s="659"/>
      <c r="BA48" s="659"/>
      <c r="BB48" s="659"/>
      <c r="BC48" s="659"/>
      <c r="BD48" s="659"/>
      <c r="BE48" s="659"/>
      <c r="BF48" s="659"/>
      <c r="BG48" s="659"/>
      <c r="BH48" s="659"/>
      <c r="BI48" s="660"/>
      <c r="BJ48" s="660"/>
      <c r="BK48" s="660"/>
      <c r="BL48" s="660"/>
      <c r="BM48" s="660"/>
      <c r="BN48" s="660"/>
      <c r="BO48" s="660"/>
      <c r="BP48" s="660"/>
      <c r="BQ48" s="660"/>
      <c r="BR48" s="660"/>
      <c r="BS48" s="660"/>
      <c r="BT48" s="660"/>
      <c r="BU48" s="660"/>
      <c r="BV48" s="660"/>
      <c r="BW48" s="660"/>
      <c r="BX48" s="660"/>
      <c r="BY48" s="660"/>
      <c r="BZ48" s="660"/>
      <c r="CA48" s="660"/>
    </row>
    <row r="49" spans="15:79">
      <c r="AX49" s="741"/>
      <c r="AY49" s="659"/>
      <c r="AZ49" s="659"/>
      <c r="BA49" s="659"/>
      <c r="BB49" s="659"/>
      <c r="BC49" s="659"/>
      <c r="BD49" s="659"/>
      <c r="BE49" s="659"/>
      <c r="BF49" s="659"/>
      <c r="BG49" s="659"/>
      <c r="BH49" s="659"/>
      <c r="BI49" s="660"/>
      <c r="BJ49" s="660"/>
      <c r="BK49" s="660"/>
      <c r="BL49" s="660"/>
      <c r="BM49" s="660"/>
      <c r="BN49" s="660"/>
      <c r="BO49" s="660"/>
      <c r="BP49" s="660"/>
      <c r="BQ49" s="660"/>
      <c r="BR49" s="660"/>
      <c r="BS49" s="660"/>
      <c r="BT49" s="660"/>
      <c r="BU49" s="660"/>
      <c r="BV49" s="660"/>
      <c r="BW49" s="660"/>
      <c r="BX49" s="660"/>
      <c r="BY49" s="660"/>
      <c r="BZ49" s="660"/>
      <c r="CA49" s="660"/>
    </row>
    <row r="50" spans="15:79">
      <c r="AX50" s="741"/>
      <c r="AY50" s="659"/>
      <c r="AZ50" s="659"/>
      <c r="BA50" s="659"/>
      <c r="BB50" s="659"/>
      <c r="BC50" s="659"/>
      <c r="BD50" s="659"/>
      <c r="BE50" s="659"/>
      <c r="BF50" s="659"/>
      <c r="BG50" s="659"/>
      <c r="BH50" s="659"/>
      <c r="BI50" s="660"/>
      <c r="BJ50" s="660"/>
      <c r="BK50" s="660"/>
      <c r="BL50" s="660"/>
      <c r="BM50" s="660"/>
      <c r="BN50" s="660"/>
      <c r="BO50" s="660"/>
      <c r="BP50" s="660"/>
      <c r="BQ50" s="660"/>
      <c r="BR50" s="660"/>
      <c r="BS50" s="660"/>
      <c r="BT50" s="660"/>
      <c r="BU50" s="660"/>
      <c r="BV50" s="660"/>
      <c r="BW50" s="660"/>
      <c r="BX50" s="660"/>
      <c r="BY50" s="660"/>
      <c r="BZ50" s="660"/>
      <c r="CA50" s="660"/>
    </row>
    <row r="51" spans="15:79">
      <c r="AX51" s="741"/>
      <c r="AY51" s="741"/>
      <c r="AZ51" s="741"/>
      <c r="BA51" s="741"/>
      <c r="BB51" s="741"/>
      <c r="BC51" s="741"/>
      <c r="BD51" s="741"/>
      <c r="BE51" s="741"/>
      <c r="BF51" s="741"/>
      <c r="BG51" s="741"/>
      <c r="BH51" s="741"/>
    </row>
    <row r="53" spans="15:79">
      <c r="R53" s="672"/>
      <c r="S53" s="672"/>
      <c r="T53" s="660"/>
      <c r="U53" s="660"/>
      <c r="V53" s="660"/>
      <c r="W53" s="660"/>
      <c r="X53" s="660"/>
      <c r="Y53" s="660"/>
      <c r="Z53" s="660"/>
      <c r="AA53" s="660"/>
      <c r="AB53" s="660"/>
      <c r="AC53" s="660"/>
      <c r="AG53" s="672"/>
      <c r="AH53" s="672"/>
      <c r="AI53" s="672"/>
      <c r="AJ53" s="672"/>
      <c r="AK53" s="672"/>
      <c r="AL53" s="672"/>
      <c r="AM53" s="672"/>
      <c r="AN53" s="672"/>
      <c r="AO53" s="672"/>
      <c r="AP53" s="672"/>
      <c r="AQ53" s="660"/>
    </row>
    <row r="54" spans="15:79">
      <c r="T54" s="660"/>
      <c r="U54" s="660"/>
      <c r="V54" s="660"/>
      <c r="W54" s="660"/>
      <c r="X54" s="660"/>
      <c r="Y54" s="660"/>
      <c r="Z54" s="660"/>
      <c r="AA54" s="660"/>
      <c r="AB54" s="660"/>
      <c r="AC54" s="660"/>
      <c r="AG54" s="672"/>
      <c r="AH54" s="672"/>
      <c r="AI54" s="672"/>
      <c r="AJ54" s="672"/>
      <c r="AK54" s="672"/>
      <c r="AL54" s="672"/>
      <c r="AM54" s="672"/>
      <c r="AN54" s="672"/>
      <c r="AO54" s="672"/>
      <c r="AP54" s="672"/>
      <c r="AQ54" s="660"/>
    </row>
    <row r="55" spans="15:79">
      <c r="O55" s="660"/>
      <c r="AA55" s="660"/>
      <c r="AB55" s="660"/>
      <c r="AC55" s="660"/>
      <c r="AO55" s="660"/>
      <c r="AP55" s="660"/>
      <c r="AQ55" s="660"/>
    </row>
    <row r="56" spans="15:79">
      <c r="Z56" s="660"/>
      <c r="AA56" s="660"/>
      <c r="AB56" s="660"/>
      <c r="AC56" s="660"/>
      <c r="AO56" s="660"/>
      <c r="AP56" s="660"/>
      <c r="AQ56" s="660"/>
    </row>
  </sheetData>
  <mergeCells count="207">
    <mergeCell ref="A41:B41"/>
    <mergeCell ref="C41:K41"/>
    <mergeCell ref="AH44:AI44"/>
    <mergeCell ref="S41:Z41"/>
    <mergeCell ref="E13:G13"/>
    <mergeCell ref="H13:I13"/>
    <mergeCell ref="J13:L13"/>
    <mergeCell ref="G12:I12"/>
    <mergeCell ref="N12:N13"/>
    <mergeCell ref="O12:P13"/>
    <mergeCell ref="Q35:R35"/>
    <mergeCell ref="E30:H30"/>
    <mergeCell ref="I29:I30"/>
    <mergeCell ref="J29:K30"/>
    <mergeCell ref="E29:H29"/>
    <mergeCell ref="AH30:AI30"/>
    <mergeCell ref="A31:R31"/>
    <mergeCell ref="T31:AF31"/>
    <mergeCell ref="AH29:AI29"/>
    <mergeCell ref="R29:U29"/>
    <mergeCell ref="V29:V30"/>
    <mergeCell ref="W29:Z29"/>
    <mergeCell ref="AC29:AC30"/>
    <mergeCell ref="AD29:AD30"/>
    <mergeCell ref="AH48:AI48"/>
    <mergeCell ref="AJ48:AP48"/>
    <mergeCell ref="A48:B48"/>
    <mergeCell ref="N48:O48"/>
    <mergeCell ref="P48:W48"/>
    <mergeCell ref="C47:R47"/>
    <mergeCell ref="C48:M48"/>
    <mergeCell ref="X48:Y48"/>
    <mergeCell ref="Z48:AG48"/>
    <mergeCell ref="S47:T47"/>
    <mergeCell ref="U47:AE47"/>
    <mergeCell ref="AJ44:AW44"/>
    <mergeCell ref="AF46:AG46"/>
    <mergeCell ref="A47:B47"/>
    <mergeCell ref="AH35:AI35"/>
    <mergeCell ref="AJ35:AT35"/>
    <mergeCell ref="AF47:AG47"/>
    <mergeCell ref="AH47:AP47"/>
    <mergeCell ref="S35:AG35"/>
    <mergeCell ref="C42:N42"/>
    <mergeCell ref="A44:B44"/>
    <mergeCell ref="R44:S44"/>
    <mergeCell ref="A46:B46"/>
    <mergeCell ref="P46:Q46"/>
    <mergeCell ref="A42:B42"/>
    <mergeCell ref="A38:B38"/>
    <mergeCell ref="C38:S38"/>
    <mergeCell ref="T44:AG44"/>
    <mergeCell ref="C46:O46"/>
    <mergeCell ref="R46:AE46"/>
    <mergeCell ref="AH46:AV46"/>
    <mergeCell ref="AK38:AL38"/>
    <mergeCell ref="AM38:AW38"/>
    <mergeCell ref="A39:B39"/>
    <mergeCell ref="C39:S39"/>
    <mergeCell ref="AY34:AZ34"/>
    <mergeCell ref="A36:B36"/>
    <mergeCell ref="C36:S36"/>
    <mergeCell ref="T38:U38"/>
    <mergeCell ref="AO32:AS33"/>
    <mergeCell ref="AT32:AT33"/>
    <mergeCell ref="I33:L33"/>
    <mergeCell ref="O33:P33"/>
    <mergeCell ref="A35:B35"/>
    <mergeCell ref="C35:P35"/>
    <mergeCell ref="O32:P32"/>
    <mergeCell ref="U32:V33"/>
    <mergeCell ref="W32:W33"/>
    <mergeCell ref="X32:AL32"/>
    <mergeCell ref="AM32:AM33"/>
    <mergeCell ref="AN32:AN33"/>
    <mergeCell ref="X33:AL33"/>
    <mergeCell ref="B32:C33"/>
    <mergeCell ref="D32:D33"/>
    <mergeCell ref="E32:F33"/>
    <mergeCell ref="G32:H33"/>
    <mergeCell ref="I32:L32"/>
    <mergeCell ref="M32:N33"/>
    <mergeCell ref="AF29:AF30"/>
    <mergeCell ref="R30:U30"/>
    <mergeCell ref="W30:Z30"/>
    <mergeCell ref="M28:U28"/>
    <mergeCell ref="AB28:AI28"/>
    <mergeCell ref="B29:C30"/>
    <mergeCell ref="D29:D30"/>
    <mergeCell ref="N29:N30"/>
    <mergeCell ref="O29:O30"/>
    <mergeCell ref="P29:P30"/>
    <mergeCell ref="Q29:Q30"/>
    <mergeCell ref="B27:G27"/>
    <mergeCell ref="A28:F28"/>
    <mergeCell ref="AQ24:AS25"/>
    <mergeCell ref="AT24:AT25"/>
    <mergeCell ref="AU24:AV25"/>
    <mergeCell ref="S24:U24"/>
    <mergeCell ref="V24:W24"/>
    <mergeCell ref="X24:Z24"/>
    <mergeCell ref="AA24:AB24"/>
    <mergeCell ref="AC24:AE24"/>
    <mergeCell ref="AF24:AG24"/>
    <mergeCell ref="S25:T25"/>
    <mergeCell ref="U25:V25"/>
    <mergeCell ref="W25:Z25"/>
    <mergeCell ref="AA25:AB25"/>
    <mergeCell ref="AC25:AE25"/>
    <mergeCell ref="AH24:AJ24"/>
    <mergeCell ref="AM24:AN24"/>
    <mergeCell ref="AP24:AP25"/>
    <mergeCell ref="A23:L23"/>
    <mergeCell ref="M23:P23"/>
    <mergeCell ref="B24:C25"/>
    <mergeCell ref="D24:D25"/>
    <mergeCell ref="F24:H24"/>
    <mergeCell ref="J24:M24"/>
    <mergeCell ref="N24:O24"/>
    <mergeCell ref="N25:P25"/>
    <mergeCell ref="K21:K22"/>
    <mergeCell ref="O21:Q21"/>
    <mergeCell ref="Q25:R25"/>
    <mergeCell ref="U21:U22"/>
    <mergeCell ref="V21:V22"/>
    <mergeCell ref="W21:Y21"/>
    <mergeCell ref="L22:N22"/>
    <mergeCell ref="Q22:S22"/>
    <mergeCell ref="W22:Y22"/>
    <mergeCell ref="B21:C22"/>
    <mergeCell ref="D21:D22"/>
    <mergeCell ref="E21:E22"/>
    <mergeCell ref="F21:H22"/>
    <mergeCell ref="I21:I22"/>
    <mergeCell ref="J21:J22"/>
    <mergeCell ref="O18:P18"/>
    <mergeCell ref="S18:U18"/>
    <mergeCell ref="P19:S19"/>
    <mergeCell ref="A20:P20"/>
    <mergeCell ref="Q20:T20"/>
    <mergeCell ref="U20:V20"/>
    <mergeCell ref="A17:G17"/>
    <mergeCell ref="H17:J17"/>
    <mergeCell ref="K17:L17"/>
    <mergeCell ref="B18:C19"/>
    <mergeCell ref="D18:D19"/>
    <mergeCell ref="E18:E19"/>
    <mergeCell ref="F18:H19"/>
    <mergeCell ref="I18:I19"/>
    <mergeCell ref="J18:J19"/>
    <mergeCell ref="L18:L19"/>
    <mergeCell ref="I15:I16"/>
    <mergeCell ref="S15:S16"/>
    <mergeCell ref="U15:W15"/>
    <mergeCell ref="AA15:AC15"/>
    <mergeCell ref="J16:L16"/>
    <mergeCell ref="T16:AD16"/>
    <mergeCell ref="A14:G14"/>
    <mergeCell ref="H14:J14"/>
    <mergeCell ref="K14:M14"/>
    <mergeCell ref="O14:P14"/>
    <mergeCell ref="Q14:S14"/>
    <mergeCell ref="B15:C16"/>
    <mergeCell ref="D15:D16"/>
    <mergeCell ref="E15:E16"/>
    <mergeCell ref="F15:G16"/>
    <mergeCell ref="H15:H16"/>
    <mergeCell ref="O16:Q16"/>
    <mergeCell ref="J15:R15"/>
    <mergeCell ref="A12:B13"/>
    <mergeCell ref="C12:C13"/>
    <mergeCell ref="A11:D11"/>
    <mergeCell ref="F11:H11"/>
    <mergeCell ref="I11:J11"/>
    <mergeCell ref="AR9:AW9"/>
    <mergeCell ref="A10:K10"/>
    <mergeCell ref="L10:S10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T1:AD2"/>
    <mergeCell ref="AL1:AQ1"/>
    <mergeCell ref="AR1:AW1"/>
    <mergeCell ref="AL2:AQ3"/>
    <mergeCell ref="AR2:AW3"/>
    <mergeCell ref="AG7:AK7"/>
    <mergeCell ref="D6:H6"/>
    <mergeCell ref="AB6:AE6"/>
    <mergeCell ref="D7:H7"/>
    <mergeCell ref="AB7:AE7"/>
    <mergeCell ref="D4:H4"/>
    <mergeCell ref="D5:H5"/>
    <mergeCell ref="AB5:AE5"/>
    <mergeCell ref="J5:Z5"/>
    <mergeCell ref="J4:O4"/>
    <mergeCell ref="J6:K6"/>
    <mergeCell ref="J7:M7"/>
    <mergeCell ref="AG5:AK5"/>
    <mergeCell ref="AG6:AK6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&amp;L&amp;"+,보통"&amp;10fKET-QP-18-01(1)&amp;R&amp;"+,보통"&amp;10한국종합환경산업(주)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282C-2F53-47E8-9745-3E0E5C8D8754}">
  <sheetPr>
    <tabColor theme="5" tint="0.39997558519241921"/>
  </sheetPr>
  <dimension ref="A1:BC61"/>
  <sheetViews>
    <sheetView view="pageBreakPreview" zoomScale="115" zoomScaleNormal="130" zoomScaleSheetLayoutView="115" zoomScalePageLayoutView="55" workbookViewId="0">
      <selection activeCell="I14" sqref="I14:M14"/>
    </sheetView>
  </sheetViews>
  <sheetFormatPr defaultColWidth="9" defaultRowHeight="16.899999999999999"/>
  <cols>
    <col min="1" max="12" width="2.125" style="705" customWidth="1"/>
    <col min="13" max="49" width="2.125" style="658" customWidth="1"/>
    <col min="50" max="16384" width="9" style="658"/>
  </cols>
  <sheetData>
    <row r="1" spans="1:49" ht="16.5" customHeight="1">
      <c r="A1" s="656"/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1832" t="s">
        <v>1067</v>
      </c>
      <c r="U1" s="1832"/>
      <c r="V1" s="1832"/>
      <c r="W1" s="1832"/>
      <c r="X1" s="1832"/>
      <c r="Y1" s="1832"/>
      <c r="Z1" s="1832"/>
      <c r="AA1" s="1832"/>
      <c r="AB1" s="1832"/>
      <c r="AC1" s="1832"/>
      <c r="AD1" s="1832"/>
      <c r="AE1" s="656"/>
      <c r="AF1" s="656"/>
      <c r="AG1" s="656"/>
      <c r="AH1" s="656"/>
      <c r="AI1" s="656"/>
      <c r="AJ1" s="656"/>
      <c r="AK1" s="656"/>
      <c r="AL1" s="1919" t="s">
        <v>935</v>
      </c>
      <c r="AM1" s="1920"/>
      <c r="AN1" s="1920"/>
      <c r="AO1" s="1920"/>
      <c r="AP1" s="1920"/>
      <c r="AQ1" s="1921"/>
      <c r="AR1" s="1919" t="s">
        <v>852</v>
      </c>
      <c r="AS1" s="1920"/>
      <c r="AT1" s="1920"/>
      <c r="AU1" s="1920"/>
      <c r="AV1" s="1920"/>
      <c r="AW1" s="1921"/>
    </row>
    <row r="2" spans="1:49" ht="16.5" customHeight="1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1832"/>
      <c r="U2" s="1832"/>
      <c r="V2" s="1832"/>
      <c r="W2" s="1832"/>
      <c r="X2" s="1832"/>
      <c r="Y2" s="1832"/>
      <c r="Z2" s="1832"/>
      <c r="AA2" s="1832"/>
      <c r="AB2" s="1832"/>
      <c r="AC2" s="1832"/>
      <c r="AD2" s="1832"/>
      <c r="AE2" s="656"/>
      <c r="AF2" s="656"/>
      <c r="AG2" s="656"/>
      <c r="AH2" s="656"/>
      <c r="AI2" s="656"/>
      <c r="AJ2" s="656"/>
      <c r="AK2" s="656"/>
      <c r="AL2" s="1922"/>
      <c r="AM2" s="1923"/>
      <c r="AN2" s="1923"/>
      <c r="AO2" s="1923"/>
      <c r="AP2" s="1923"/>
      <c r="AQ2" s="1924"/>
      <c r="AR2" s="1922"/>
      <c r="AS2" s="1923"/>
      <c r="AT2" s="1923"/>
      <c r="AU2" s="1923"/>
      <c r="AV2" s="1923"/>
      <c r="AW2" s="1924"/>
    </row>
    <row r="3" spans="1:49" ht="16.5" customHeight="1">
      <c r="A3" s="657"/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AE3" s="657"/>
      <c r="AF3" s="657"/>
      <c r="AG3" s="657"/>
      <c r="AH3" s="657"/>
      <c r="AI3" s="657"/>
      <c r="AJ3" s="657"/>
      <c r="AK3" s="657"/>
      <c r="AL3" s="1925"/>
      <c r="AM3" s="1926"/>
      <c r="AN3" s="1926"/>
      <c r="AO3" s="1926"/>
      <c r="AP3" s="1926"/>
      <c r="AQ3" s="1927"/>
      <c r="AR3" s="1925"/>
      <c r="AS3" s="1926"/>
      <c r="AT3" s="1926"/>
      <c r="AU3" s="1926"/>
      <c r="AV3" s="1926"/>
      <c r="AW3" s="1927"/>
    </row>
    <row r="4" spans="1:49" s="660" customFormat="1" ht="15" customHeight="1">
      <c r="A4" s="659"/>
      <c r="B4" s="659"/>
      <c r="C4" s="659"/>
      <c r="D4" s="1835" t="s">
        <v>513</v>
      </c>
      <c r="E4" s="1835"/>
      <c r="F4" s="1835"/>
      <c r="G4" s="1835"/>
      <c r="H4" s="1835"/>
      <c r="I4" s="659" t="s">
        <v>15</v>
      </c>
      <c r="J4" s="1838" t="s">
        <v>1049</v>
      </c>
      <c r="K4" s="1838"/>
      <c r="L4" s="1838"/>
      <c r="M4" s="1838"/>
      <c r="N4" s="1838"/>
      <c r="O4" s="1838"/>
      <c r="P4" s="659"/>
      <c r="Q4" s="659"/>
      <c r="R4" s="659"/>
      <c r="S4" s="659"/>
      <c r="T4" s="659"/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  <c r="AF4" s="661"/>
      <c r="AG4" s="662"/>
      <c r="AH4" s="662"/>
      <c r="AI4" s="662"/>
      <c r="AJ4" s="662"/>
      <c r="AK4" s="662"/>
      <c r="AL4" s="659"/>
      <c r="AM4" s="659"/>
      <c r="AN4" s="659"/>
      <c r="AO4" s="659"/>
      <c r="AP4" s="659"/>
      <c r="AQ4" s="659"/>
      <c r="AR4" s="659"/>
      <c r="AS4" s="659"/>
      <c r="AT4" s="659"/>
      <c r="AU4" s="659"/>
      <c r="AV4" s="659"/>
      <c r="AW4" s="659"/>
    </row>
    <row r="5" spans="1:49" s="660" customFormat="1" ht="15" customHeight="1">
      <c r="A5" s="659"/>
      <c r="B5" s="659"/>
      <c r="C5" s="659"/>
      <c r="D5" s="1835" t="s">
        <v>637</v>
      </c>
      <c r="E5" s="1835"/>
      <c r="F5" s="1835"/>
      <c r="G5" s="1835"/>
      <c r="H5" s="1835"/>
      <c r="I5" s="661" t="s">
        <v>15</v>
      </c>
      <c r="J5" s="1838" t="s">
        <v>1051</v>
      </c>
      <c r="K5" s="1838"/>
      <c r="L5" s="1838"/>
      <c r="M5" s="1838"/>
      <c r="N5" s="1838"/>
      <c r="O5" s="1838"/>
      <c r="P5" s="1838"/>
      <c r="Q5" s="1838"/>
      <c r="R5" s="1838"/>
      <c r="S5" s="1838"/>
      <c r="T5" s="1838"/>
      <c r="U5" s="1838"/>
      <c r="V5" s="1838"/>
      <c r="W5" s="1838"/>
      <c r="X5" s="1838"/>
      <c r="Y5" s="1838"/>
      <c r="Z5" s="1838"/>
      <c r="AA5" s="659"/>
      <c r="AB5" s="1835" t="s">
        <v>515</v>
      </c>
      <c r="AC5" s="1835"/>
      <c r="AD5" s="1835"/>
      <c r="AE5" s="1835"/>
      <c r="AF5" s="661" t="s">
        <v>46</v>
      </c>
      <c r="AG5" s="1836">
        <f>'시험일지(계산일지-1)'!AG5:AK5</f>
        <v>0</v>
      </c>
      <c r="AH5" s="1836"/>
      <c r="AI5" s="1836"/>
      <c r="AJ5" s="1836"/>
      <c r="AK5" s="1836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659"/>
      <c r="AW5" s="659"/>
    </row>
    <row r="6" spans="1:49" s="660" customFormat="1" ht="15" customHeight="1">
      <c r="A6" s="663"/>
      <c r="B6" s="663"/>
      <c r="C6" s="663"/>
      <c r="D6" s="1835" t="s">
        <v>651</v>
      </c>
      <c r="E6" s="1835"/>
      <c r="F6" s="1835"/>
      <c r="G6" s="1835"/>
      <c r="H6" s="1835"/>
      <c r="I6" s="659" t="s">
        <v>15</v>
      </c>
      <c r="J6" s="1835" t="s">
        <v>158</v>
      </c>
      <c r="K6" s="1835"/>
      <c r="L6" s="659"/>
      <c r="M6" s="659"/>
      <c r="N6" s="659"/>
      <c r="O6" s="659"/>
      <c r="P6" s="659"/>
      <c r="Q6" s="659"/>
      <c r="R6" s="659"/>
      <c r="S6" s="659"/>
      <c r="T6" s="664"/>
      <c r="U6" s="664"/>
      <c r="V6" s="664"/>
      <c r="W6" s="664"/>
      <c r="X6" s="664"/>
      <c r="Y6" s="664"/>
      <c r="Z6" s="664"/>
      <c r="AA6" s="664"/>
      <c r="AB6" s="1835" t="s">
        <v>517</v>
      </c>
      <c r="AC6" s="1835"/>
      <c r="AD6" s="1835"/>
      <c r="AE6" s="1835"/>
      <c r="AF6" s="661" t="s">
        <v>46</v>
      </c>
      <c r="AG6" s="1836">
        <f>'시험일지(계산일지-1)'!AG6:AK6</f>
        <v>46059</v>
      </c>
      <c r="AH6" s="1836"/>
      <c r="AI6" s="1836"/>
      <c r="AJ6" s="1836"/>
      <c r="AK6" s="1836"/>
      <c r="AL6" s="662"/>
      <c r="AM6" s="662"/>
      <c r="AN6" s="662"/>
      <c r="AO6" s="662"/>
      <c r="AP6" s="659"/>
      <c r="AQ6" s="659"/>
      <c r="AR6" s="659"/>
      <c r="AS6" s="659"/>
      <c r="AT6" s="659"/>
      <c r="AU6" s="659"/>
      <c r="AV6" s="662"/>
      <c r="AW6" s="662"/>
    </row>
    <row r="7" spans="1:49" s="660" customFormat="1" ht="15" customHeight="1">
      <c r="A7" s="659"/>
      <c r="B7" s="659"/>
      <c r="C7" s="659"/>
      <c r="D7" s="1835" t="s">
        <v>653</v>
      </c>
      <c r="E7" s="1835"/>
      <c r="F7" s="1835"/>
      <c r="G7" s="1835"/>
      <c r="H7" s="1835"/>
      <c r="I7" s="661" t="s">
        <v>15</v>
      </c>
      <c r="J7" s="1837">
        <f>'시험일지(계산일지-1)'!J7</f>
        <v>0</v>
      </c>
      <c r="K7" s="1837"/>
      <c r="L7" s="1837"/>
      <c r="M7" s="1837"/>
      <c r="N7" s="665"/>
      <c r="O7" s="665"/>
      <c r="P7" s="665"/>
      <c r="Q7" s="665"/>
      <c r="R7" s="665"/>
      <c r="S7" s="665"/>
      <c r="T7" s="665"/>
      <c r="U7" s="665"/>
      <c r="V7" s="665"/>
      <c r="W7" s="659"/>
      <c r="X7" s="659"/>
      <c r="Y7" s="659"/>
      <c r="Z7" s="659"/>
      <c r="AA7" s="659"/>
      <c r="AB7" s="1835" t="s">
        <v>519</v>
      </c>
      <c r="AC7" s="1835"/>
      <c r="AD7" s="1835"/>
      <c r="AE7" s="1835"/>
      <c r="AF7" s="661" t="s">
        <v>46</v>
      </c>
      <c r="AG7" s="1836">
        <f>AG6</f>
        <v>46059</v>
      </c>
      <c r="AH7" s="1836"/>
      <c r="AI7" s="1836"/>
      <c r="AJ7" s="1836"/>
      <c r="AK7" s="1836"/>
      <c r="AL7" s="662"/>
      <c r="AM7" s="662"/>
      <c r="AN7" s="662"/>
      <c r="AO7" s="662"/>
      <c r="AP7" s="659"/>
      <c r="AQ7" s="659"/>
      <c r="AR7" s="659"/>
      <c r="AS7" s="659"/>
      <c r="AT7" s="659"/>
      <c r="AU7" s="659"/>
      <c r="AV7" s="662"/>
      <c r="AW7" s="662"/>
    </row>
    <row r="8" spans="1:49" s="660" customFormat="1" ht="15" customHeight="1">
      <c r="A8" s="664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59"/>
      <c r="N8" s="659"/>
      <c r="O8" s="659"/>
      <c r="P8" s="659"/>
      <c r="Q8" s="659"/>
      <c r="R8" s="659"/>
      <c r="S8" s="659"/>
      <c r="T8" s="659"/>
      <c r="U8" s="659"/>
      <c r="V8" s="659"/>
      <c r="W8" s="659"/>
      <c r="X8" s="659"/>
      <c r="Y8" s="659"/>
      <c r="Z8" s="659"/>
      <c r="AA8" s="659"/>
      <c r="AB8" s="659"/>
      <c r="AC8" s="659"/>
      <c r="AD8" s="659"/>
      <c r="AE8" s="659"/>
      <c r="AF8" s="659"/>
      <c r="AG8" s="659"/>
      <c r="AH8" s="659"/>
      <c r="AI8" s="659"/>
      <c r="AJ8" s="659"/>
      <c r="AK8" s="659"/>
      <c r="AL8" s="659"/>
      <c r="AM8" s="659"/>
      <c r="AN8" s="659"/>
      <c r="AO8" s="659"/>
      <c r="AP8" s="659"/>
      <c r="AQ8" s="659"/>
      <c r="AR8" s="659"/>
      <c r="AS8" s="659"/>
      <c r="AT8" s="659"/>
      <c r="AU8" s="659"/>
      <c r="AV8" s="659"/>
      <c r="AW8" s="659"/>
    </row>
    <row r="9" spans="1:49" s="660" customFormat="1" ht="18" customHeight="1">
      <c r="A9" s="1842" t="s">
        <v>735</v>
      </c>
      <c r="B9" s="1843"/>
      <c r="C9" s="1843"/>
      <c r="D9" s="1843"/>
      <c r="E9" s="1843"/>
      <c r="F9" s="1843"/>
      <c r="G9" s="1843"/>
      <c r="H9" s="1843"/>
      <c r="I9" s="1843"/>
      <c r="J9" s="1843"/>
      <c r="K9" s="1844"/>
      <c r="L9" s="1845"/>
      <c r="M9" s="1846"/>
      <c r="N9" s="1846"/>
      <c r="O9" s="1846"/>
      <c r="P9" s="1846"/>
      <c r="Q9" s="1846"/>
      <c r="R9" s="1846"/>
      <c r="S9" s="1847"/>
      <c r="T9" s="1845"/>
      <c r="U9" s="1846"/>
      <c r="V9" s="1846"/>
      <c r="W9" s="1846"/>
      <c r="X9" s="1846"/>
      <c r="Y9" s="1846"/>
      <c r="Z9" s="1847"/>
      <c r="AA9" s="1848"/>
      <c r="AB9" s="1849"/>
      <c r="AC9" s="1849"/>
      <c r="AD9" s="1849"/>
      <c r="AE9" s="1850"/>
      <c r="AF9" s="1839"/>
      <c r="AG9" s="1840"/>
      <c r="AH9" s="1840"/>
      <c r="AI9" s="1840"/>
      <c r="AJ9" s="1840"/>
      <c r="AK9" s="1841"/>
      <c r="AL9" s="1839"/>
      <c r="AM9" s="1840"/>
      <c r="AN9" s="1840"/>
      <c r="AO9" s="1840"/>
      <c r="AP9" s="1840"/>
      <c r="AQ9" s="1841"/>
      <c r="AR9" s="1839"/>
      <c r="AS9" s="1840"/>
      <c r="AT9" s="1840"/>
      <c r="AU9" s="1840"/>
      <c r="AV9" s="1840"/>
      <c r="AW9" s="1841"/>
    </row>
    <row r="10" spans="1:49" s="660" customFormat="1" ht="18" customHeight="1">
      <c r="A10" s="1928">
        <f>'시험일지(계산일지-1)'!A10:K10</f>
        <v>0</v>
      </c>
      <c r="B10" s="1878"/>
      <c r="C10" s="1878"/>
      <c r="D10" s="1878"/>
      <c r="E10" s="1878"/>
      <c r="F10" s="1878"/>
      <c r="G10" s="1878"/>
      <c r="H10" s="1878"/>
      <c r="I10" s="1878"/>
      <c r="J10" s="1878"/>
      <c r="K10" s="1929"/>
      <c r="L10" s="1930"/>
      <c r="M10" s="1931"/>
      <c r="N10" s="1931"/>
      <c r="O10" s="1931"/>
      <c r="P10" s="1931"/>
      <c r="Q10" s="1931"/>
      <c r="R10" s="1931"/>
      <c r="S10" s="1932"/>
      <c r="T10" s="1930"/>
      <c r="U10" s="1931"/>
      <c r="V10" s="1931"/>
      <c r="W10" s="1931"/>
      <c r="X10" s="1931"/>
      <c r="Y10" s="1931"/>
      <c r="Z10" s="1932"/>
      <c r="AA10" s="1933"/>
      <c r="AB10" s="1934"/>
      <c r="AC10" s="1934"/>
      <c r="AD10" s="1934"/>
      <c r="AE10" s="1935"/>
      <c r="AF10" s="1936"/>
      <c r="AG10" s="1937"/>
      <c r="AH10" s="1937"/>
      <c r="AI10" s="1937"/>
      <c r="AJ10" s="1937"/>
      <c r="AK10" s="1938"/>
      <c r="AL10" s="1936"/>
      <c r="AM10" s="1937"/>
      <c r="AN10" s="1937"/>
      <c r="AO10" s="1937"/>
      <c r="AP10" s="1937"/>
      <c r="AQ10" s="1938"/>
      <c r="AR10" s="1936"/>
      <c r="AS10" s="1937"/>
      <c r="AT10" s="1937"/>
      <c r="AU10" s="1937"/>
      <c r="AV10" s="1937"/>
      <c r="AW10" s="1938"/>
    </row>
    <row r="11" spans="1:49" s="660" customFormat="1" ht="21.95" customHeight="1">
      <c r="A11" s="1885" t="s">
        <v>1012</v>
      </c>
      <c r="B11" s="1866"/>
      <c r="C11" s="1866"/>
      <c r="D11" s="1866"/>
      <c r="E11" s="1866"/>
      <c r="F11" s="1863"/>
      <c r="G11" s="1863"/>
      <c r="H11" s="1863"/>
      <c r="I11" s="1939" t="e">
        <f>ROUND(F12*L12*273/(273+T13)*(Z12+AE12)/760*(1-AM12/100)*3600,1)</f>
        <v>#DIV/0!</v>
      </c>
      <c r="J11" s="1939"/>
      <c r="K11" s="1939"/>
      <c r="L11" s="1939"/>
      <c r="M11" s="1939"/>
      <c r="N11" s="1854" t="s">
        <v>1167</v>
      </c>
      <c r="O11" s="1854"/>
      <c r="P11" s="1854"/>
      <c r="Q11" s="667" t="s">
        <v>86</v>
      </c>
      <c r="R11" s="1851" t="e">
        <f>ROUND(I11/60,1)</f>
        <v>#DIV/0!</v>
      </c>
      <c r="S11" s="1851"/>
      <c r="T11" s="1851"/>
      <c r="U11" s="1851"/>
      <c r="V11" s="1851" t="s">
        <v>1168</v>
      </c>
      <c r="W11" s="1851"/>
      <c r="X11" s="1851"/>
      <c r="Y11" s="1851"/>
      <c r="Z11" s="674" t="s">
        <v>138</v>
      </c>
      <c r="AA11" s="674"/>
      <c r="AB11" s="674"/>
      <c r="AC11" s="674"/>
      <c r="AL11" s="659"/>
      <c r="AW11" s="675"/>
    </row>
    <row r="12" spans="1:49" s="660" customFormat="1" ht="21.95" customHeight="1">
      <c r="A12" s="692"/>
      <c r="B12" s="1852" t="s">
        <v>1013</v>
      </c>
      <c r="C12" s="1852"/>
      <c r="D12" s="1852" t="s">
        <v>1</v>
      </c>
      <c r="E12" s="1902" t="s">
        <v>86</v>
      </c>
      <c r="F12" s="1940" t="e">
        <f>'시험일지(계산일지-1)'!H18</f>
        <v>#DIV/0!</v>
      </c>
      <c r="G12" s="1940"/>
      <c r="H12" s="1940"/>
      <c r="I12" s="1940"/>
      <c r="J12" s="1898" t="s">
        <v>989</v>
      </c>
      <c r="K12" s="1898"/>
      <c r="L12" s="1852">
        <f>'먼지측정 사전 Data'!K31</f>
        <v>0</v>
      </c>
      <c r="M12" s="1852"/>
      <c r="N12" s="1852"/>
      <c r="O12" s="1852" t="s">
        <v>138</v>
      </c>
      <c r="P12" s="1898" t="s">
        <v>972</v>
      </c>
      <c r="Q12" s="1898">
        <v>273</v>
      </c>
      <c r="R12" s="1898"/>
      <c r="S12" s="1898"/>
      <c r="T12" s="1898"/>
      <c r="U12" s="1898"/>
      <c r="V12" s="1898"/>
      <c r="W12" s="1898"/>
      <c r="X12" s="1898" t="s">
        <v>972</v>
      </c>
      <c r="Y12" s="684" t="s">
        <v>86</v>
      </c>
      <c r="Z12" s="1913">
        <f>'먼지측정 사전 Data'!H20</f>
        <v>0</v>
      </c>
      <c r="AA12" s="1913"/>
      <c r="AB12" s="1913"/>
      <c r="AC12" s="1942" t="s">
        <v>985</v>
      </c>
      <c r="AD12" s="1942"/>
      <c r="AE12" s="1876" t="e">
        <f>'먼지측정 사전 Data'!U71</f>
        <v>#DIV/0!</v>
      </c>
      <c r="AF12" s="1835"/>
      <c r="AG12" s="1835"/>
      <c r="AH12" s="664" t="s">
        <v>138</v>
      </c>
      <c r="AI12" s="1835" t="s">
        <v>972</v>
      </c>
      <c r="AJ12" s="1835" t="s">
        <v>1014</v>
      </c>
      <c r="AK12" s="1835"/>
      <c r="AL12" s="664" t="s">
        <v>86</v>
      </c>
      <c r="AM12" s="1835" t="e">
        <f>IF('먼지측정 사전 Data'!Q60=0,'시험일지(계산일지-1)'!F11,'시험일지(계산일지-1 포화)'!F11)</f>
        <v>#DIV/0!</v>
      </c>
      <c r="AN12" s="1835"/>
      <c r="AO12" s="1835"/>
      <c r="AP12" s="688" t="s">
        <v>138</v>
      </c>
      <c r="AQ12" s="1941" t="s">
        <v>138</v>
      </c>
      <c r="AR12" s="1941" t="s">
        <v>972</v>
      </c>
      <c r="AS12" s="1900">
        <v>3600</v>
      </c>
      <c r="AT12" s="1900"/>
      <c r="AU12" s="1900"/>
      <c r="AW12" s="675"/>
    </row>
    <row r="13" spans="1:49" s="660" customFormat="1" ht="21.95" customHeight="1">
      <c r="A13" s="692"/>
      <c r="B13" s="1852"/>
      <c r="C13" s="1852"/>
      <c r="D13" s="1852"/>
      <c r="E13" s="1902"/>
      <c r="F13" s="1940"/>
      <c r="G13" s="1940"/>
      <c r="H13" s="1940"/>
      <c r="I13" s="1940"/>
      <c r="J13" s="1898"/>
      <c r="K13" s="1898"/>
      <c r="L13" s="1852"/>
      <c r="M13" s="1852"/>
      <c r="N13" s="1852"/>
      <c r="O13" s="1852"/>
      <c r="P13" s="1898"/>
      <c r="Q13" s="1943" t="s">
        <v>1015</v>
      </c>
      <c r="R13" s="1943"/>
      <c r="S13" s="1943"/>
      <c r="T13" s="1944" t="e">
        <f>'먼지측정 사전 Data'!R69</f>
        <v>#DIV/0!</v>
      </c>
      <c r="U13" s="1944"/>
      <c r="V13" s="1944"/>
      <c r="W13" s="711" t="s">
        <v>138</v>
      </c>
      <c r="X13" s="1899"/>
      <c r="Y13" s="1945">
        <v>760</v>
      </c>
      <c r="Z13" s="1945"/>
      <c r="AA13" s="1945"/>
      <c r="AB13" s="1945"/>
      <c r="AC13" s="1945"/>
      <c r="AD13" s="1945"/>
      <c r="AE13" s="1945"/>
      <c r="AF13" s="1945"/>
      <c r="AG13" s="1945"/>
      <c r="AH13" s="1945"/>
      <c r="AI13" s="1835"/>
      <c r="AJ13" s="1835"/>
      <c r="AK13" s="1835"/>
      <c r="AL13" s="1878">
        <v>100</v>
      </c>
      <c r="AM13" s="1878"/>
      <c r="AN13" s="1878"/>
      <c r="AO13" s="1878"/>
      <c r="AP13" s="1878"/>
      <c r="AQ13" s="1941"/>
      <c r="AR13" s="1941"/>
      <c r="AS13" s="1900"/>
      <c r="AT13" s="1900"/>
      <c r="AU13" s="1900"/>
      <c r="AW13" s="675"/>
    </row>
    <row r="14" spans="1:49" s="660" customFormat="1" ht="21.95" customHeight="1">
      <c r="A14" s="1949" t="s">
        <v>1016</v>
      </c>
      <c r="B14" s="1950"/>
      <c r="C14" s="1950"/>
      <c r="D14" s="1950"/>
      <c r="E14" s="1950"/>
      <c r="F14" s="1950"/>
      <c r="G14" s="1950"/>
      <c r="H14" s="1950"/>
      <c r="I14" s="1951" t="str">
        <f>IF(COUNT('먼지측정 사전 Data'!H72)=0,"-",IF(OR('먼지측정 사전 Data'!C95="", '먼지측정 사전 Data'!C95=0),"-",ROUND(N15/(F16*273/(273+N17)*(U16+AA16/13.6)/760),1)))</f>
        <v>-</v>
      </c>
      <c r="J14" s="1951"/>
      <c r="K14" s="1951"/>
      <c r="L14" s="1951"/>
      <c r="M14" s="1951"/>
      <c r="N14" s="1853" t="s">
        <v>1017</v>
      </c>
      <c r="O14" s="1853"/>
      <c r="P14" s="1853"/>
      <c r="Q14" s="1853"/>
      <c r="R14" s="712"/>
      <c r="S14" s="712"/>
      <c r="T14" s="712"/>
      <c r="U14" s="712"/>
      <c r="V14" s="712"/>
      <c r="W14" s="713"/>
      <c r="X14" s="713"/>
      <c r="Y14" s="713"/>
      <c r="Z14" s="713"/>
      <c r="AA14" s="713"/>
      <c r="AB14" s="713"/>
      <c r="AC14" s="713"/>
      <c r="AD14" s="713"/>
      <c r="AE14" s="713"/>
      <c r="AF14" s="712"/>
      <c r="AG14" s="712"/>
      <c r="AH14" s="712"/>
      <c r="AI14" s="712"/>
      <c r="AJ14" s="712"/>
      <c r="AK14" s="712"/>
      <c r="AL14" s="712"/>
      <c r="AM14" s="712"/>
      <c r="AN14" s="712"/>
      <c r="AO14" s="712"/>
      <c r="AP14" s="712"/>
      <c r="AQ14" s="697"/>
      <c r="AR14" s="697"/>
      <c r="AS14" s="697"/>
      <c r="AT14" s="697"/>
      <c r="AU14" s="697"/>
      <c r="AV14" s="697"/>
      <c r="AW14" s="714"/>
    </row>
    <row r="15" spans="1:49" s="660" customFormat="1" ht="21.95" customHeight="1">
      <c r="A15" s="715"/>
      <c r="B15" s="1952" t="s">
        <v>1018</v>
      </c>
      <c r="C15" s="1952"/>
      <c r="D15" s="1952" t="s">
        <v>1</v>
      </c>
      <c r="E15" s="716"/>
      <c r="F15" s="716"/>
      <c r="G15" s="716"/>
      <c r="H15" s="716"/>
      <c r="I15" s="716"/>
      <c r="J15" s="716"/>
      <c r="K15" s="716"/>
      <c r="L15" s="716"/>
      <c r="M15" s="716" t="s">
        <v>86</v>
      </c>
      <c r="N15" s="1952" t="str">
        <f>IF(COUNT('먼지측정 사전 Data'!H72)=0,"-",IF(OR('먼지측정 사전 Data'!C95="", '먼지측정 사전 Data'!C95=0),"-",'먼지측정 사전 Data'!H99*1000))</f>
        <v>-</v>
      </c>
      <c r="O15" s="1952"/>
      <c r="P15" s="1952"/>
      <c r="Q15" s="1952"/>
      <c r="R15" s="1952"/>
      <c r="S15" s="1952"/>
      <c r="T15" s="1952"/>
      <c r="U15" s="1952"/>
      <c r="V15" s="1952"/>
      <c r="W15" s="1952"/>
      <c r="X15" s="1952"/>
      <c r="Y15" s="716" t="s">
        <v>138</v>
      </c>
      <c r="Z15" s="716"/>
      <c r="AA15" s="716"/>
      <c r="AB15" s="716"/>
      <c r="AC15" s="716"/>
      <c r="AD15" s="716"/>
      <c r="AE15" s="716"/>
      <c r="AF15" s="716"/>
      <c r="AG15" s="716"/>
      <c r="AH15" s="716"/>
      <c r="AI15" s="1953" t="s">
        <v>891</v>
      </c>
      <c r="AJ15" s="1953"/>
      <c r="AK15" s="717" t="s">
        <v>1</v>
      </c>
      <c r="AL15" s="1954" t="str">
        <f>IFERROR('먼지측정 사전 Data'!H99,"")</f>
        <v/>
      </c>
      <c r="AM15" s="1954"/>
      <c r="AN15" s="1954"/>
      <c r="AO15" s="1954"/>
      <c r="AP15" s="1954"/>
      <c r="AQ15" s="664"/>
      <c r="AR15" s="664"/>
      <c r="AS15" s="664"/>
      <c r="AT15" s="664"/>
      <c r="AU15" s="664"/>
      <c r="AV15" s="664"/>
      <c r="AW15" s="700"/>
    </row>
    <row r="16" spans="1:49" s="660" customFormat="1" ht="21.95" customHeight="1">
      <c r="A16" s="715"/>
      <c r="B16" s="1952"/>
      <c r="C16" s="1952"/>
      <c r="D16" s="1952"/>
      <c r="E16" s="1946" t="s">
        <v>86</v>
      </c>
      <c r="F16" s="1946" t="str">
        <f>IF(COUNT('먼지측정 사전 Data'!H72)=0,"-",IF('먼지측정 사전 Data'!C95=0,"-",'먼지측정 사전 Data'!R80))</f>
        <v>-</v>
      </c>
      <c r="G16" s="1946"/>
      <c r="H16" s="1946"/>
      <c r="I16" s="1946" t="s">
        <v>1019</v>
      </c>
      <c r="J16" s="1946"/>
      <c r="K16" s="1948">
        <v>273</v>
      </c>
      <c r="L16" s="1948"/>
      <c r="M16" s="1948"/>
      <c r="N16" s="1948"/>
      <c r="O16" s="1948"/>
      <c r="P16" s="1948"/>
      <c r="Q16" s="1948"/>
      <c r="R16" s="1948"/>
      <c r="S16" s="1946" t="s">
        <v>972</v>
      </c>
      <c r="T16" s="712" t="s">
        <v>86</v>
      </c>
      <c r="U16" s="1946" t="str">
        <f>IF(COUNT('먼지측정 사전 Data'!H72)=0,"-",IF('먼지측정 사전 Data'!C95=0,"-",'먼지측정 사전 Data'!M9))</f>
        <v>-</v>
      </c>
      <c r="V16" s="1946"/>
      <c r="W16" s="1946"/>
      <c r="X16" s="1946"/>
      <c r="Y16" s="1946" t="s">
        <v>985</v>
      </c>
      <c r="Z16" s="1946"/>
      <c r="AA16" s="1946" t="str">
        <f>IF(COUNT('먼지측정 사전 Data'!H72)=0,"-",IF('먼지측정 사전 Data'!C95=0,"-",'먼지측정 사전 Data'!R86))</f>
        <v>-</v>
      </c>
      <c r="AB16" s="1946"/>
      <c r="AC16" s="1946"/>
      <c r="AD16" s="1946"/>
      <c r="AE16" s="1946" t="s">
        <v>1020</v>
      </c>
      <c r="AF16" s="1946"/>
      <c r="AG16" s="1946"/>
      <c r="AH16" s="716"/>
      <c r="AI16" s="1953" t="s">
        <v>896</v>
      </c>
      <c r="AJ16" s="1953"/>
      <c r="AK16" s="717" t="s">
        <v>1</v>
      </c>
      <c r="AL16" s="1954" t="str">
        <f>IFERROR('먼지측정 사전 Data'!H95,"")</f>
        <v/>
      </c>
      <c r="AM16" s="1954"/>
      <c r="AN16" s="1954"/>
      <c r="AO16" s="1954"/>
      <c r="AP16" s="1954"/>
      <c r="AQ16" s="664"/>
      <c r="AR16" s="664"/>
      <c r="AS16" s="664"/>
      <c r="AT16" s="664"/>
      <c r="AU16" s="664"/>
      <c r="AV16" s="664"/>
      <c r="AW16" s="700"/>
    </row>
    <row r="17" spans="1:55" s="688" customFormat="1" ht="21.95" customHeight="1">
      <c r="A17" s="718"/>
      <c r="B17" s="1952"/>
      <c r="C17" s="1952"/>
      <c r="D17" s="1952"/>
      <c r="E17" s="1947"/>
      <c r="F17" s="1947"/>
      <c r="G17" s="1947"/>
      <c r="H17" s="1947"/>
      <c r="I17" s="1947"/>
      <c r="J17" s="1947"/>
      <c r="K17" s="1947" t="s">
        <v>1015</v>
      </c>
      <c r="L17" s="1947"/>
      <c r="M17" s="1947"/>
      <c r="N17" s="1947" t="str">
        <f>IF(COUNT('먼지측정 사전 Data'!H72)=0,"-",IF('먼지측정 사전 Data'!C95=0,"-",'먼지측정 사전 Data'!R74))</f>
        <v>-</v>
      </c>
      <c r="O17" s="1947"/>
      <c r="P17" s="1947"/>
      <c r="Q17" s="1947"/>
      <c r="R17" s="719" t="s">
        <v>138</v>
      </c>
      <c r="S17" s="1947"/>
      <c r="T17" s="1948">
        <v>760</v>
      </c>
      <c r="U17" s="1948"/>
      <c r="V17" s="1948"/>
      <c r="W17" s="1948"/>
      <c r="X17" s="1948"/>
      <c r="Y17" s="1948"/>
      <c r="Z17" s="1948"/>
      <c r="AA17" s="1948"/>
      <c r="AB17" s="1948"/>
      <c r="AC17" s="1948"/>
      <c r="AD17" s="1948"/>
      <c r="AE17" s="1948"/>
      <c r="AF17" s="1948"/>
      <c r="AG17" s="1948"/>
      <c r="AH17" s="716"/>
      <c r="AI17" s="1953" t="s">
        <v>897</v>
      </c>
      <c r="AJ17" s="1953"/>
      <c r="AK17" s="680" t="s">
        <v>1</v>
      </c>
      <c r="AL17" s="1954" t="str">
        <f>IFERROR('먼지측정 사전 Data'!H97,"")</f>
        <v/>
      </c>
      <c r="AM17" s="1954"/>
      <c r="AN17" s="1954"/>
      <c r="AO17" s="1954"/>
      <c r="AP17" s="1954"/>
      <c r="AQ17" s="664"/>
      <c r="AR17" s="664"/>
      <c r="AS17" s="664"/>
      <c r="AT17" s="664"/>
      <c r="AU17" s="664"/>
      <c r="AV17" s="664"/>
      <c r="AW17" s="700"/>
    </row>
    <row r="18" spans="1:55" s="688" customFormat="1" ht="21.95" customHeight="1">
      <c r="A18" s="1885" t="s">
        <v>1021</v>
      </c>
      <c r="B18" s="1866"/>
      <c r="C18" s="1866"/>
      <c r="D18" s="1866"/>
      <c r="E18" s="1866"/>
      <c r="F18" s="1866"/>
      <c r="G18" s="1863" t="str">
        <f>IF(COUNT('먼지측정 사전 Data'!H72)=0,"-",IF('먼지측정 사전 Data'!R13=20.9,'시험일지(계산일지-2)'!F19,F19*((21-O19)/(21-O20))))</f>
        <v>-</v>
      </c>
      <c r="H18" s="1863"/>
      <c r="I18" s="1863"/>
      <c r="J18" s="1863"/>
      <c r="K18" s="1863"/>
      <c r="L18" s="1866" t="s">
        <v>1017</v>
      </c>
      <c r="M18" s="1866"/>
      <c r="N18" s="1866"/>
      <c r="O18" s="1866"/>
      <c r="P18" s="697"/>
      <c r="Q18" s="697"/>
      <c r="R18" s="690"/>
      <c r="S18" s="690"/>
      <c r="T18" s="690"/>
      <c r="U18" s="690"/>
      <c r="V18" s="690"/>
      <c r="W18" s="690"/>
      <c r="X18" s="690"/>
      <c r="Y18" s="690"/>
      <c r="Z18" s="690"/>
      <c r="AA18" s="690"/>
      <c r="AB18" s="690"/>
      <c r="AC18" s="690"/>
      <c r="AD18" s="690"/>
      <c r="AE18" s="690"/>
      <c r="AF18" s="690"/>
      <c r="AG18" s="690"/>
      <c r="AH18" s="690"/>
      <c r="AI18" s="690"/>
      <c r="AJ18" s="690"/>
      <c r="AK18" s="690"/>
      <c r="AL18" s="690"/>
      <c r="AM18" s="690"/>
      <c r="AN18" s="690"/>
      <c r="AO18" s="690"/>
      <c r="AP18" s="690"/>
      <c r="AQ18" s="690"/>
      <c r="AR18" s="690"/>
      <c r="AS18" s="690"/>
      <c r="AT18" s="690"/>
      <c r="AU18" s="690"/>
      <c r="AV18" s="690"/>
      <c r="AW18" s="691"/>
    </row>
    <row r="19" spans="1:55" s="660" customFormat="1" ht="21.95" customHeight="1">
      <c r="A19" s="692"/>
      <c r="B19" s="1957" t="s">
        <v>73</v>
      </c>
      <c r="C19" s="1957"/>
      <c r="D19" s="1957" t="s">
        <v>1</v>
      </c>
      <c r="E19" s="1957" t="s">
        <v>86</v>
      </c>
      <c r="F19" s="1958" t="str">
        <f>I14</f>
        <v>-</v>
      </c>
      <c r="G19" s="1958"/>
      <c r="H19" s="1958"/>
      <c r="I19" s="1958"/>
      <c r="J19" s="1959" t="s">
        <v>1019</v>
      </c>
      <c r="K19" s="1959"/>
      <c r="L19" s="1852" t="s">
        <v>1022</v>
      </c>
      <c r="M19" s="1852"/>
      <c r="N19" s="1852"/>
      <c r="O19" s="1835" t="str">
        <f>IF('대기측정 분석결과서'!J23=1,"-",IF('먼지측정 사전 Data'!R13=20.9,"-",'먼지측정 사전 Data'!R13))</f>
        <v>-</v>
      </c>
      <c r="P19" s="1835"/>
      <c r="Q19" s="1835"/>
      <c r="R19" s="664" t="s">
        <v>138</v>
      </c>
      <c r="S19" s="664"/>
      <c r="AW19" s="675"/>
    </row>
    <row r="20" spans="1:55" s="660" customFormat="1" ht="21.95" customHeight="1">
      <c r="A20" s="692"/>
      <c r="B20" s="1957"/>
      <c r="C20" s="1957"/>
      <c r="D20" s="1957"/>
      <c r="E20" s="1957"/>
      <c r="F20" s="1958"/>
      <c r="G20" s="1958"/>
      <c r="H20" s="1958"/>
      <c r="I20" s="1958"/>
      <c r="J20" s="1959"/>
      <c r="K20" s="1959"/>
      <c r="L20" s="1870" t="s">
        <v>1022</v>
      </c>
      <c r="M20" s="1870"/>
      <c r="N20" s="1870"/>
      <c r="O20" s="1878" t="str">
        <f>IF('대기측정 분석결과서'!J23=1,"-",IF('먼지측정 사전 Data'!R13=20.9,"-",'먼지측정 사전 Data'!H14))</f>
        <v>-</v>
      </c>
      <c r="P20" s="1878"/>
      <c r="Q20" s="1878"/>
      <c r="R20" s="687" t="s">
        <v>138</v>
      </c>
      <c r="S20" s="664"/>
      <c r="AW20" s="675"/>
    </row>
    <row r="21" spans="1:55" s="660" customFormat="1" ht="21.95" customHeight="1">
      <c r="A21" s="1885" t="s">
        <v>1023</v>
      </c>
      <c r="B21" s="1866"/>
      <c r="C21" s="1866"/>
      <c r="D21" s="1866"/>
      <c r="E21" s="1866"/>
      <c r="F21" s="1866"/>
      <c r="G21" s="1866"/>
      <c r="H21" s="1955" t="e">
        <f>IF('먼지측정 사전 Data'!R13=20.9,F22,ROUND(F22/((21-O22)/(21-O23)),1))</f>
        <v>#DIV/0!</v>
      </c>
      <c r="I21" s="1955"/>
      <c r="J21" s="1955"/>
      <c r="K21" s="1955"/>
      <c r="L21" s="1955"/>
      <c r="M21" s="1853" t="s">
        <v>1024</v>
      </c>
      <c r="N21" s="1853"/>
      <c r="O21" s="1853"/>
      <c r="P21" s="1853"/>
      <c r="Q21" s="1956" t="e">
        <f>ROUND(H21/60,1)</f>
        <v>#DIV/0!</v>
      </c>
      <c r="R21" s="1956"/>
      <c r="S21" s="1956"/>
      <c r="T21" s="1853" t="s">
        <v>1025</v>
      </c>
      <c r="U21" s="1853"/>
      <c r="V21" s="1853"/>
      <c r="W21" s="1853"/>
      <c r="X21" s="670"/>
      <c r="Y21" s="670"/>
      <c r="Z21" s="670"/>
      <c r="AA21" s="670"/>
      <c r="AB21" s="670"/>
      <c r="AC21" s="670"/>
      <c r="AD21" s="670"/>
      <c r="AE21" s="670"/>
      <c r="AF21" s="670"/>
      <c r="AG21" s="670"/>
      <c r="AH21" s="670"/>
      <c r="AI21" s="670"/>
      <c r="AJ21" s="670"/>
      <c r="AK21" s="670"/>
      <c r="AL21" s="670"/>
      <c r="AM21" s="670"/>
      <c r="AN21" s="670"/>
      <c r="AO21" s="670"/>
      <c r="AP21" s="670"/>
      <c r="AQ21" s="670"/>
      <c r="AR21" s="670"/>
      <c r="AS21" s="670"/>
      <c r="AT21" s="670"/>
      <c r="AU21" s="670"/>
      <c r="AV21" s="670"/>
      <c r="AW21" s="671"/>
    </row>
    <row r="22" spans="1:55" s="670" customFormat="1" ht="21.95" customHeight="1">
      <c r="A22" s="692"/>
      <c r="B22" s="1835" t="s">
        <v>1026</v>
      </c>
      <c r="C22" s="1835"/>
      <c r="D22" s="1960" t="s">
        <v>1</v>
      </c>
      <c r="E22" s="1835" t="s">
        <v>86</v>
      </c>
      <c r="F22" s="1913" t="e">
        <f>I11</f>
        <v>#DIV/0!</v>
      </c>
      <c r="G22" s="1913"/>
      <c r="H22" s="1913"/>
      <c r="I22" s="1913"/>
      <c r="J22" s="1835" t="s">
        <v>1027</v>
      </c>
      <c r="K22" s="1835"/>
      <c r="L22" s="1852" t="s">
        <v>1022</v>
      </c>
      <c r="M22" s="1852"/>
      <c r="N22" s="1852"/>
      <c r="O22" s="1913" t="str">
        <f>IF('먼지측정 사전 Data'!R13=20.9,"-",'먼지측정 사전 Data'!R13)</f>
        <v>-</v>
      </c>
      <c r="P22" s="1913"/>
      <c r="Q22" s="1913"/>
      <c r="R22" s="720" t="s">
        <v>138</v>
      </c>
      <c r="S22" s="660"/>
      <c r="T22" s="664"/>
      <c r="U22" s="660"/>
      <c r="V22" s="660"/>
      <c r="W22" s="660"/>
      <c r="X22" s="660"/>
      <c r="Y22" s="660"/>
      <c r="Z22" s="660"/>
      <c r="AA22" s="660"/>
      <c r="AB22" s="660"/>
      <c r="AC22" s="660"/>
      <c r="AD22" s="660"/>
      <c r="AE22" s="660"/>
      <c r="AF22" s="660"/>
      <c r="AG22" s="660"/>
      <c r="AH22" s="660"/>
      <c r="AI22" s="660"/>
      <c r="AJ22" s="660"/>
      <c r="AK22" s="660"/>
      <c r="AL22" s="660"/>
      <c r="AM22" s="660"/>
      <c r="AN22" s="660"/>
      <c r="AO22" s="660"/>
      <c r="AP22" s="660"/>
      <c r="AQ22" s="660"/>
      <c r="AR22" s="660"/>
      <c r="AS22" s="660"/>
      <c r="AT22" s="660"/>
      <c r="AU22" s="660"/>
      <c r="AV22" s="659"/>
      <c r="AW22" s="721"/>
      <c r="AZ22" s="670" t="s">
        <v>1236</v>
      </c>
    </row>
    <row r="23" spans="1:55" s="660" customFormat="1" ht="21.95" customHeight="1">
      <c r="A23" s="701"/>
      <c r="B23" s="1865"/>
      <c r="C23" s="1865"/>
      <c r="D23" s="1961"/>
      <c r="E23" s="1865"/>
      <c r="F23" s="1896"/>
      <c r="G23" s="1896"/>
      <c r="H23" s="1896"/>
      <c r="I23" s="1896"/>
      <c r="J23" s="1865"/>
      <c r="K23" s="1865"/>
      <c r="L23" s="1870" t="s">
        <v>1022</v>
      </c>
      <c r="M23" s="1870"/>
      <c r="N23" s="1870"/>
      <c r="O23" s="1878" t="str">
        <f>IF('먼지측정 사전 Data'!R13=20.9,"-",'먼지측정 사전 Data'!H14)</f>
        <v>-</v>
      </c>
      <c r="P23" s="1878"/>
      <c r="Q23" s="1878"/>
      <c r="R23" s="687" t="s">
        <v>138</v>
      </c>
      <c r="T23" s="686"/>
      <c r="U23" s="722"/>
      <c r="V23" s="722"/>
      <c r="W23" s="722"/>
      <c r="AG23" s="722"/>
      <c r="AH23" s="722"/>
      <c r="AI23" s="722"/>
      <c r="AJ23" s="722"/>
      <c r="AK23" s="722"/>
      <c r="AL23" s="722"/>
      <c r="AM23" s="722"/>
      <c r="AN23" s="722"/>
      <c r="AO23" s="722"/>
      <c r="AP23" s="722"/>
      <c r="AQ23" s="722"/>
      <c r="AR23" s="723"/>
      <c r="AS23" s="723"/>
      <c r="AT23" s="723"/>
      <c r="AU23" s="723"/>
      <c r="AV23" s="723"/>
      <c r="AW23" s="724"/>
    </row>
    <row r="24" spans="1:55" s="660" customFormat="1" ht="21.95" customHeight="1">
      <c r="A24" s="682"/>
      <c r="B24" s="682"/>
      <c r="C24" s="682"/>
      <c r="D24" s="682"/>
      <c r="E24" s="682"/>
      <c r="F24" s="682"/>
      <c r="G24" s="682"/>
      <c r="H24" s="682"/>
      <c r="I24" s="682"/>
      <c r="J24" s="682"/>
      <c r="K24" s="682"/>
      <c r="L24" s="682"/>
      <c r="M24" s="682"/>
      <c r="N24" s="697"/>
      <c r="O24" s="697"/>
      <c r="P24" s="682"/>
      <c r="Q24" s="682"/>
      <c r="R24" s="682"/>
      <c r="S24" s="697"/>
      <c r="T24" s="682"/>
      <c r="U24" s="682"/>
      <c r="V24" s="682"/>
      <c r="W24" s="682"/>
      <c r="X24" s="682"/>
      <c r="Y24" s="682"/>
      <c r="Z24" s="682"/>
      <c r="AA24" s="682"/>
      <c r="AB24" s="682"/>
      <c r="AC24" s="682"/>
      <c r="AD24" s="682"/>
      <c r="AE24" s="682"/>
      <c r="AF24" s="682"/>
      <c r="AG24" s="682"/>
      <c r="AH24" s="682"/>
      <c r="AI24" s="682"/>
      <c r="AJ24" s="682"/>
      <c r="AK24" s="682"/>
      <c r="AL24" s="682"/>
      <c r="AM24" s="682"/>
      <c r="AN24" s="682"/>
      <c r="AO24" s="682"/>
      <c r="AP24" s="682"/>
      <c r="AQ24" s="682"/>
      <c r="AR24" s="682"/>
      <c r="AS24" s="682"/>
      <c r="AT24" s="682"/>
      <c r="AU24" s="682"/>
      <c r="AV24" s="682"/>
      <c r="AW24" s="682"/>
    </row>
    <row r="25" spans="1:55" s="660" customFormat="1" ht="21.95" customHeight="1">
      <c r="A25" s="664"/>
      <c r="B25" s="1835" t="s">
        <v>781</v>
      </c>
      <c r="C25" s="1835"/>
      <c r="D25" s="1835"/>
      <c r="E25" s="1835"/>
      <c r="F25" s="1835"/>
      <c r="G25" s="1835"/>
      <c r="H25" s="688"/>
      <c r="I25" s="688"/>
      <c r="J25" s="688"/>
      <c r="K25" s="688"/>
      <c r="L25" s="664"/>
      <c r="M25" s="664"/>
      <c r="N25" s="664"/>
      <c r="O25" s="664"/>
      <c r="P25" s="664"/>
      <c r="Q25" s="664"/>
      <c r="R25" s="664"/>
      <c r="S25" s="664"/>
      <c r="T25" s="664"/>
      <c r="U25" s="664"/>
      <c r="V25" s="664"/>
      <c r="W25" s="664"/>
      <c r="X25" s="664"/>
      <c r="Y25" s="664"/>
      <c r="Z25" s="664"/>
      <c r="AA25" s="664"/>
      <c r="AB25" s="664"/>
      <c r="AC25" s="664"/>
      <c r="AD25" s="664"/>
      <c r="AW25" s="688"/>
    </row>
    <row r="26" spans="1:55" s="660" customFormat="1" ht="21.95" customHeight="1">
      <c r="A26" s="1854" t="s">
        <v>1028</v>
      </c>
      <c r="B26" s="1854"/>
      <c r="C26" s="1854"/>
      <c r="D26" s="1854"/>
      <c r="E26" s="1854"/>
      <c r="F26" s="1854"/>
      <c r="G26" s="1854"/>
      <c r="H26" s="1854"/>
      <c r="I26" s="1854"/>
      <c r="J26" s="1854"/>
      <c r="K26" s="680"/>
      <c r="L26" s="680"/>
      <c r="M26" s="680"/>
      <c r="N26" s="664"/>
      <c r="O26" s="664"/>
      <c r="P26" s="664"/>
      <c r="Q26" s="680"/>
      <c r="R26" s="680"/>
      <c r="S26" s="680"/>
      <c r="T26" s="688"/>
      <c r="U26" s="688"/>
      <c r="V26" s="664"/>
      <c r="W26" s="664"/>
      <c r="X26" s="664"/>
      <c r="Y26" s="664"/>
      <c r="Z26" s="664"/>
      <c r="AA26" s="680"/>
      <c r="AB26" s="680"/>
      <c r="AC26" s="680"/>
      <c r="AE26" s="1854" t="s">
        <v>1029</v>
      </c>
      <c r="AF26" s="1854"/>
      <c r="AG26" s="1854"/>
      <c r="AH26" s="1854"/>
      <c r="AI26" s="1854"/>
      <c r="AJ26" s="1854"/>
      <c r="AK26" s="1854"/>
      <c r="AL26" s="1854"/>
      <c r="AM26" s="1854"/>
      <c r="AN26" s="1854"/>
      <c r="AO26" s="1852" t="s">
        <v>1030</v>
      </c>
      <c r="AP26" s="1852"/>
      <c r="AQ26" s="1852"/>
      <c r="AR26" s="1852"/>
      <c r="AS26" s="1852"/>
      <c r="AT26" s="1852"/>
      <c r="AU26" s="1852"/>
      <c r="AV26" s="664"/>
      <c r="AW26" s="664"/>
      <c r="AX26" s="673"/>
    </row>
    <row r="27" spans="1:55" s="660" customFormat="1" ht="21.95" customHeight="1">
      <c r="B27" s="1852" t="s">
        <v>1013</v>
      </c>
      <c r="C27" s="1852"/>
      <c r="D27" s="1852" t="s">
        <v>1</v>
      </c>
      <c r="E27" s="1852" t="s">
        <v>939</v>
      </c>
      <c r="F27" s="1852" t="s">
        <v>972</v>
      </c>
      <c r="G27" s="1852" t="s">
        <v>1031</v>
      </c>
      <c r="H27" s="1852" t="s">
        <v>972</v>
      </c>
      <c r="I27" s="1852">
        <v>273</v>
      </c>
      <c r="J27" s="1852"/>
      <c r="K27" s="1852"/>
      <c r="L27" s="1852"/>
      <c r="M27" s="1852"/>
      <c r="N27" s="1852" t="s">
        <v>972</v>
      </c>
      <c r="O27" s="1835" t="s">
        <v>1032</v>
      </c>
      <c r="P27" s="1835"/>
      <c r="Q27" s="1835"/>
      <c r="R27" s="1835"/>
      <c r="S27" s="1835"/>
      <c r="T27" s="1852" t="s">
        <v>972</v>
      </c>
      <c r="U27" s="1904" t="s">
        <v>86</v>
      </c>
      <c r="V27" s="1835">
        <v>1</v>
      </c>
      <c r="W27" s="1835" t="s">
        <v>158</v>
      </c>
      <c r="X27" s="1835" t="s">
        <v>136</v>
      </c>
      <c r="Y27" s="1835"/>
      <c r="Z27" s="1835" t="s">
        <v>138</v>
      </c>
      <c r="AA27" s="1835" t="s">
        <v>972</v>
      </c>
      <c r="AB27" s="1835">
        <v>3600</v>
      </c>
      <c r="AC27" s="1835"/>
      <c r="AF27" s="1835" t="s">
        <v>1018</v>
      </c>
      <c r="AG27" s="1835"/>
      <c r="AH27" s="1835" t="s">
        <v>1</v>
      </c>
      <c r="AI27" s="1865" t="s">
        <v>1033</v>
      </c>
      <c r="AJ27" s="1865"/>
      <c r="AK27" s="1865"/>
      <c r="AL27" s="1865"/>
      <c r="AM27" s="1865"/>
      <c r="AN27" s="1865"/>
      <c r="AO27" s="1865"/>
      <c r="AP27" s="1865"/>
      <c r="AQ27" s="1865"/>
      <c r="AR27" s="1865"/>
      <c r="AS27" s="1865"/>
      <c r="AT27" s="1865"/>
      <c r="AU27" s="1865"/>
      <c r="AV27" s="1865"/>
      <c r="AW27" s="664"/>
      <c r="AX27" s="673"/>
      <c r="AY27" s="673"/>
    </row>
    <row r="28" spans="1:55" s="660" customFormat="1" ht="21.95" customHeight="1">
      <c r="B28" s="1852"/>
      <c r="C28" s="1852"/>
      <c r="D28" s="1852"/>
      <c r="E28" s="1852"/>
      <c r="F28" s="1852"/>
      <c r="G28" s="1852"/>
      <c r="H28" s="1852"/>
      <c r="I28" s="1851" t="s">
        <v>142</v>
      </c>
      <c r="J28" s="1851"/>
      <c r="K28" s="1851"/>
      <c r="L28" s="1851" t="s">
        <v>1034</v>
      </c>
      <c r="M28" s="1851"/>
      <c r="N28" s="1852"/>
      <c r="O28" s="1851">
        <v>273</v>
      </c>
      <c r="P28" s="1851"/>
      <c r="Q28" s="1851"/>
      <c r="R28" s="1851"/>
      <c r="S28" s="1851"/>
      <c r="T28" s="1852"/>
      <c r="U28" s="1904"/>
      <c r="V28" s="1835"/>
      <c r="W28" s="1835"/>
      <c r="X28" s="1843">
        <v>100</v>
      </c>
      <c r="Y28" s="1843"/>
      <c r="Z28" s="1835"/>
      <c r="AA28" s="1835"/>
      <c r="AB28" s="1835"/>
      <c r="AC28" s="1835"/>
      <c r="AF28" s="1835"/>
      <c r="AG28" s="1835"/>
      <c r="AH28" s="1835"/>
      <c r="AI28" s="1835" t="s">
        <v>1035</v>
      </c>
      <c r="AJ28" s="1835"/>
      <c r="AK28" s="1835" t="s">
        <v>972</v>
      </c>
      <c r="AL28" s="1835">
        <v>273</v>
      </c>
      <c r="AM28" s="1835"/>
      <c r="AN28" s="1835"/>
      <c r="AO28" s="1835"/>
      <c r="AP28" s="1835" t="s">
        <v>972</v>
      </c>
      <c r="AQ28" s="1835" t="s">
        <v>1036</v>
      </c>
      <c r="AR28" s="1835"/>
      <c r="AS28" s="1835"/>
      <c r="AT28" s="1835"/>
      <c r="AU28" s="1835"/>
      <c r="AV28" s="1835"/>
      <c r="AW28" s="664"/>
    </row>
    <row r="29" spans="1:55" s="660" customFormat="1" ht="21.95" customHeight="1">
      <c r="Z29" s="664"/>
      <c r="AA29" s="664"/>
      <c r="AB29" s="664"/>
      <c r="AC29" s="664"/>
      <c r="AF29" s="1835"/>
      <c r="AG29" s="1835"/>
      <c r="AH29" s="1835"/>
      <c r="AI29" s="1835"/>
      <c r="AJ29" s="1835"/>
      <c r="AK29" s="1835"/>
      <c r="AL29" s="1843" t="s">
        <v>1037</v>
      </c>
      <c r="AM29" s="1843"/>
      <c r="AN29" s="1843"/>
      <c r="AO29" s="1843"/>
      <c r="AP29" s="1835"/>
      <c r="AQ29" s="1903">
        <v>760</v>
      </c>
      <c r="AR29" s="1903"/>
      <c r="AS29" s="1903"/>
      <c r="AT29" s="1903"/>
      <c r="AU29" s="1903"/>
      <c r="AV29" s="1903"/>
      <c r="AW29" s="664"/>
    </row>
    <row r="30" spans="1:55" s="660" customFormat="1" ht="21.95" customHeight="1">
      <c r="A30" s="659" t="s">
        <v>1038</v>
      </c>
      <c r="B30" s="659"/>
      <c r="C30" s="659"/>
      <c r="D30" s="659"/>
      <c r="E30" s="659"/>
      <c r="F30" s="659"/>
      <c r="G30" s="659"/>
      <c r="H30" s="659"/>
      <c r="I30" s="664"/>
      <c r="J30" s="664"/>
      <c r="K30" s="659"/>
      <c r="N30" s="659" t="s">
        <v>1039</v>
      </c>
      <c r="O30" s="659"/>
      <c r="P30" s="659"/>
      <c r="Q30" s="659"/>
      <c r="R30" s="659"/>
      <c r="S30" s="659"/>
      <c r="T30" s="659"/>
      <c r="U30" s="659"/>
      <c r="V30" s="664"/>
      <c r="W30" s="664"/>
      <c r="X30" s="664"/>
      <c r="Y30" s="664"/>
      <c r="Z30" s="664"/>
      <c r="AV30" s="664"/>
      <c r="AW30" s="664"/>
    </row>
    <row r="31" spans="1:55" s="660" customFormat="1" ht="21.95" customHeight="1">
      <c r="B31" s="1835" t="s">
        <v>73</v>
      </c>
      <c r="C31" s="1835"/>
      <c r="D31" s="1835" t="s">
        <v>1</v>
      </c>
      <c r="E31" s="1835" t="s">
        <v>1018</v>
      </c>
      <c r="F31" s="1835"/>
      <c r="G31" s="1835" t="s">
        <v>972</v>
      </c>
      <c r="H31" s="1835" t="s">
        <v>1040</v>
      </c>
      <c r="I31" s="1835"/>
      <c r="J31" s="1835"/>
      <c r="K31" s="1835"/>
      <c r="L31" s="1835"/>
      <c r="O31" s="1835" t="s">
        <v>1026</v>
      </c>
      <c r="P31" s="1835"/>
      <c r="Q31" s="1835" t="s">
        <v>1</v>
      </c>
      <c r="R31" s="1835" t="s">
        <v>1013</v>
      </c>
      <c r="S31" s="1835"/>
      <c r="T31" s="1835" t="s">
        <v>484</v>
      </c>
      <c r="U31" s="1835" t="s">
        <v>1040</v>
      </c>
      <c r="V31" s="1835"/>
      <c r="W31" s="1835"/>
      <c r="X31" s="1835"/>
      <c r="Y31" s="1835"/>
      <c r="Z31" s="664"/>
      <c r="AV31" s="664"/>
      <c r="AW31" s="664"/>
    </row>
    <row r="32" spans="1:55" s="660" customFormat="1" ht="18" customHeight="1">
      <c r="B32" s="1835"/>
      <c r="C32" s="1835"/>
      <c r="D32" s="1835"/>
      <c r="E32" s="1835"/>
      <c r="F32" s="1835"/>
      <c r="G32" s="1835"/>
      <c r="H32" s="1843" t="s">
        <v>1041</v>
      </c>
      <c r="I32" s="1843"/>
      <c r="J32" s="1843"/>
      <c r="K32" s="1843"/>
      <c r="L32" s="1843"/>
      <c r="O32" s="1835"/>
      <c r="P32" s="1835"/>
      <c r="Q32" s="1835"/>
      <c r="R32" s="1835"/>
      <c r="S32" s="1835"/>
      <c r="T32" s="1835"/>
      <c r="U32" s="1843" t="s">
        <v>1041</v>
      </c>
      <c r="V32" s="1843"/>
      <c r="W32" s="1843"/>
      <c r="X32" s="1843"/>
      <c r="Y32" s="1843"/>
      <c r="Z32" s="725"/>
      <c r="AV32" s="664"/>
      <c r="AW32" s="664"/>
      <c r="BA32" s="1962" t="s">
        <v>1042</v>
      </c>
      <c r="BB32" s="1962"/>
      <c r="BC32" s="726" t="s">
        <v>623</v>
      </c>
    </row>
    <row r="33" spans="1:55" s="660" customFormat="1" ht="18" customHeight="1">
      <c r="BA33" s="1963">
        <v>760</v>
      </c>
      <c r="BB33" s="1963"/>
      <c r="BC33" s="1963"/>
    </row>
    <row r="34" spans="1:55" s="660" customFormat="1" ht="18" customHeight="1">
      <c r="A34" s="1902" t="s">
        <v>320</v>
      </c>
      <c r="B34" s="1902"/>
      <c r="C34" s="1852" t="s">
        <v>881</v>
      </c>
      <c r="D34" s="1852"/>
      <c r="E34" s="1852"/>
      <c r="F34" s="1852"/>
      <c r="G34" s="1852"/>
      <c r="H34" s="1852"/>
      <c r="I34" s="1852"/>
      <c r="J34" s="1852"/>
      <c r="K34" s="1852"/>
      <c r="L34" s="1902" t="s">
        <v>1043</v>
      </c>
      <c r="M34" s="1902"/>
      <c r="N34" s="1852" t="s">
        <v>282</v>
      </c>
      <c r="O34" s="1852"/>
      <c r="P34" s="1852"/>
      <c r="Q34" s="1852"/>
      <c r="R34" s="1852"/>
      <c r="S34" s="1852"/>
      <c r="T34" s="1852"/>
      <c r="U34" s="1852"/>
      <c r="V34" s="1852"/>
      <c r="X34" s="1902" t="s">
        <v>1044</v>
      </c>
      <c r="Y34" s="1902"/>
      <c r="Z34" s="1852" t="s">
        <v>879</v>
      </c>
      <c r="AA34" s="1852"/>
      <c r="AB34" s="1852"/>
      <c r="AC34" s="1852"/>
      <c r="AD34" s="1852"/>
      <c r="AE34" s="1852"/>
      <c r="AG34" s="1902" t="s">
        <v>260</v>
      </c>
      <c r="AH34" s="1902"/>
      <c r="AI34" s="1852" t="s">
        <v>1045</v>
      </c>
      <c r="AJ34" s="1852"/>
      <c r="AK34" s="1852"/>
      <c r="AL34" s="1852"/>
      <c r="AM34" s="1852"/>
      <c r="AN34" s="1852"/>
      <c r="AO34" s="1852"/>
      <c r="AP34" s="1852"/>
      <c r="AQ34" s="672"/>
      <c r="AR34" s="672"/>
    </row>
    <row r="35" spans="1:55" s="660" customFormat="1" ht="18" customHeight="1">
      <c r="A35" s="1902" t="s">
        <v>251</v>
      </c>
      <c r="B35" s="1902"/>
      <c r="C35" s="1901" t="s">
        <v>255</v>
      </c>
      <c r="D35" s="1901"/>
      <c r="E35" s="1901"/>
      <c r="F35" s="1901"/>
      <c r="G35" s="1901"/>
      <c r="H35" s="1901"/>
      <c r="J35" s="1902" t="s">
        <v>279</v>
      </c>
      <c r="K35" s="1902"/>
      <c r="L35" s="1852" t="s">
        <v>310</v>
      </c>
      <c r="M35" s="1852"/>
      <c r="N35" s="1852"/>
      <c r="O35" s="1852"/>
      <c r="P35" s="1852"/>
      <c r="Q35" s="1852"/>
      <c r="R35" s="1852"/>
      <c r="S35" s="1852"/>
      <c r="T35" s="1852"/>
      <c r="U35" s="1852"/>
      <c r="X35" s="1902" t="s">
        <v>267</v>
      </c>
      <c r="Y35" s="1902"/>
      <c r="Z35" s="1852" t="s">
        <v>311</v>
      </c>
      <c r="AA35" s="1852"/>
      <c r="AB35" s="1852"/>
      <c r="AC35" s="1852"/>
      <c r="AD35" s="1852"/>
      <c r="AE35" s="1852"/>
      <c r="AF35" s="1852"/>
      <c r="AG35" s="1852"/>
      <c r="AH35" s="1852"/>
    </row>
    <row r="36" spans="1:55" s="660" customFormat="1" ht="18" customHeight="1"/>
    <row r="37" spans="1:55" s="660" customFormat="1" ht="18" customHeight="1">
      <c r="A37" s="1902" t="s">
        <v>319</v>
      </c>
      <c r="B37" s="1902"/>
      <c r="C37" s="1901" t="s">
        <v>880</v>
      </c>
      <c r="D37" s="1901"/>
      <c r="E37" s="1901"/>
      <c r="F37" s="1901"/>
      <c r="G37" s="1901"/>
      <c r="H37" s="1901"/>
      <c r="I37" s="1901"/>
      <c r="J37" s="1901"/>
      <c r="K37" s="1901"/>
      <c r="L37" s="1901"/>
      <c r="M37" s="1901"/>
      <c r="N37" s="1901"/>
      <c r="O37" s="1901"/>
      <c r="P37" s="1901"/>
      <c r="Q37" s="1902" t="s">
        <v>273</v>
      </c>
      <c r="R37" s="1902"/>
      <c r="S37" s="1852" t="s">
        <v>869</v>
      </c>
      <c r="T37" s="1852"/>
      <c r="U37" s="1852"/>
      <c r="V37" s="1852"/>
      <c r="W37" s="1852"/>
      <c r="X37" s="1852"/>
      <c r="Y37" s="1852"/>
      <c r="Z37" s="1852"/>
      <c r="AA37" s="1852"/>
      <c r="AB37" s="1852"/>
      <c r="AC37" s="1852"/>
      <c r="AD37" s="1852"/>
      <c r="AE37" s="1852"/>
      <c r="AF37" s="1852"/>
      <c r="AG37" s="1852"/>
      <c r="AH37" s="1852"/>
      <c r="AI37" s="1901" t="s">
        <v>249</v>
      </c>
      <c r="AJ37" s="1901"/>
      <c r="AK37" s="1901" t="s">
        <v>314</v>
      </c>
      <c r="AL37" s="1901"/>
      <c r="AM37" s="1901"/>
      <c r="AN37" s="1901"/>
      <c r="AO37" s="1901"/>
      <c r="AP37" s="1901"/>
      <c r="AQ37" s="1901"/>
      <c r="AR37" s="1901"/>
      <c r="AS37" s="1901"/>
      <c r="AT37" s="1901"/>
      <c r="AW37" s="672"/>
    </row>
    <row r="38" spans="1:55" s="660" customFormat="1" ht="18" customHeight="1">
      <c r="A38" s="1902" t="s">
        <v>251</v>
      </c>
      <c r="B38" s="1902"/>
      <c r="C38" s="1901" t="s">
        <v>252</v>
      </c>
      <c r="D38" s="1901"/>
      <c r="E38" s="1901"/>
      <c r="F38" s="1901"/>
      <c r="G38" s="1901"/>
      <c r="H38" s="1901"/>
      <c r="I38" s="1901"/>
      <c r="J38" s="1901"/>
      <c r="K38" s="1901"/>
      <c r="L38" s="1901"/>
      <c r="M38" s="1901"/>
      <c r="Q38" s="1902" t="s">
        <v>276</v>
      </c>
      <c r="R38" s="1902"/>
      <c r="S38" s="1852" t="s">
        <v>870</v>
      </c>
      <c r="T38" s="1852"/>
      <c r="U38" s="1852"/>
      <c r="V38" s="1852"/>
      <c r="W38" s="1852"/>
      <c r="X38" s="1852"/>
      <c r="Y38" s="1852"/>
      <c r="Z38" s="1852"/>
      <c r="AA38" s="1852"/>
    </row>
    <row r="39" spans="1:55" s="660" customFormat="1" ht="18" customHeight="1"/>
    <row r="40" spans="1:55" s="660" customFormat="1" ht="18" customHeight="1">
      <c r="A40" s="1902" t="s">
        <v>312</v>
      </c>
      <c r="B40" s="1902"/>
      <c r="C40" s="1901" t="s">
        <v>895</v>
      </c>
      <c r="D40" s="1901"/>
      <c r="E40" s="1901"/>
      <c r="F40" s="1901"/>
      <c r="G40" s="1901"/>
      <c r="H40" s="1901"/>
      <c r="I40" s="1901"/>
      <c r="J40" s="1901"/>
      <c r="K40" s="1901"/>
      <c r="L40" s="1901"/>
      <c r="M40" s="1901"/>
      <c r="N40" s="1901"/>
      <c r="O40" s="1901"/>
      <c r="P40" s="1901"/>
      <c r="Q40" s="1902" t="s">
        <v>892</v>
      </c>
      <c r="R40" s="1902"/>
      <c r="S40" s="1902"/>
      <c r="T40" s="1901" t="s">
        <v>313</v>
      </c>
      <c r="U40" s="1901"/>
      <c r="V40" s="1901"/>
      <c r="W40" s="1901"/>
      <c r="X40" s="1901"/>
      <c r="Y40" s="1901"/>
      <c r="Z40" s="1901"/>
      <c r="AA40" s="1902" t="s">
        <v>893</v>
      </c>
      <c r="AB40" s="1902"/>
      <c r="AC40" s="1902"/>
      <c r="AD40" s="1901" t="s">
        <v>894</v>
      </c>
      <c r="AE40" s="1901"/>
      <c r="AF40" s="1901"/>
      <c r="AG40" s="1901"/>
      <c r="AH40" s="1901"/>
      <c r="AI40" s="1901"/>
      <c r="AJ40" s="1901"/>
      <c r="AK40" s="1901"/>
      <c r="AL40" s="1901"/>
    </row>
    <row r="41" spans="1:55" s="660" customFormat="1" ht="18" customHeight="1">
      <c r="A41" s="1902" t="s">
        <v>317</v>
      </c>
      <c r="B41" s="1902"/>
      <c r="C41" s="1852" t="s">
        <v>318</v>
      </c>
      <c r="D41" s="1852"/>
      <c r="E41" s="1852"/>
      <c r="F41" s="1852"/>
      <c r="G41" s="1852"/>
      <c r="H41" s="1852"/>
      <c r="I41" s="1902" t="s">
        <v>315</v>
      </c>
      <c r="J41" s="1902"/>
      <c r="K41" s="1852" t="s">
        <v>316</v>
      </c>
      <c r="L41" s="1852"/>
      <c r="M41" s="1852"/>
      <c r="N41" s="1852"/>
      <c r="O41" s="1852"/>
      <c r="P41" s="1852"/>
    </row>
    <row r="42" spans="1:55" s="660" customFormat="1" ht="18" customHeight="1"/>
    <row r="43" spans="1:55" s="660" customFormat="1" ht="18" customHeight="1"/>
    <row r="44" spans="1:55" s="660" customFormat="1" ht="18" customHeight="1"/>
    <row r="45" spans="1:55" s="660" customFormat="1" ht="18" customHeight="1"/>
    <row r="46" spans="1:55" s="660" customFormat="1" ht="18" customHeight="1">
      <c r="L46" s="672"/>
      <c r="M46" s="672"/>
      <c r="N46" s="672"/>
      <c r="O46" s="672"/>
      <c r="P46" s="672"/>
    </row>
    <row r="47" spans="1:55">
      <c r="AU47" s="680"/>
      <c r="AV47" s="680"/>
      <c r="AW47" s="727"/>
    </row>
    <row r="48" spans="1:55">
      <c r="B48" s="707"/>
      <c r="C48" s="706"/>
      <c r="D48" s="706"/>
      <c r="E48" s="728"/>
      <c r="F48" s="706"/>
      <c r="G48" s="706"/>
      <c r="H48" s="706"/>
      <c r="I48" s="706"/>
      <c r="J48" s="706"/>
      <c r="O48" s="707"/>
      <c r="P48" s="707"/>
      <c r="Q48" s="706"/>
      <c r="Z48" s="659"/>
      <c r="AA48" s="659"/>
      <c r="AB48" s="659"/>
      <c r="AH48" s="707"/>
      <c r="AI48" s="707"/>
      <c r="AJ48" s="707"/>
      <c r="AK48" s="707"/>
      <c r="AL48" s="707"/>
      <c r="AM48" s="707"/>
      <c r="AN48" s="707"/>
      <c r="AO48" s="707"/>
      <c r="AP48" s="707"/>
      <c r="AQ48" s="707"/>
      <c r="AR48" s="707"/>
      <c r="AS48" s="707"/>
      <c r="AT48" s="707"/>
      <c r="AU48" s="707"/>
      <c r="AV48" s="659"/>
      <c r="AW48" s="659"/>
    </row>
    <row r="49" spans="2:49">
      <c r="B49" s="707"/>
      <c r="C49" s="707"/>
      <c r="D49" s="707"/>
      <c r="E49" s="707"/>
      <c r="F49" s="707"/>
      <c r="G49" s="707"/>
      <c r="H49" s="707"/>
      <c r="I49" s="707"/>
      <c r="J49" s="708"/>
      <c r="K49" s="729"/>
      <c r="L49" s="729"/>
      <c r="M49" s="729"/>
      <c r="N49" s="729"/>
      <c r="O49" s="707"/>
      <c r="P49" s="707"/>
      <c r="Q49" s="706"/>
      <c r="R49" s="706"/>
      <c r="S49" s="659"/>
      <c r="T49" s="659"/>
      <c r="U49" s="659"/>
      <c r="V49" s="659"/>
      <c r="W49" s="659"/>
      <c r="X49" s="659"/>
      <c r="Y49" s="659"/>
      <c r="Z49" s="659"/>
      <c r="AA49" s="659"/>
      <c r="AB49" s="659"/>
      <c r="AH49" s="707"/>
      <c r="AI49" s="707"/>
      <c r="AJ49" s="707"/>
      <c r="AK49" s="707"/>
      <c r="AL49" s="707"/>
      <c r="AM49" s="707"/>
      <c r="AN49" s="707"/>
      <c r="AO49" s="707"/>
      <c r="AP49" s="707"/>
      <c r="AQ49" s="707"/>
      <c r="AR49" s="707"/>
      <c r="AS49" s="707"/>
      <c r="AT49" s="707"/>
      <c r="AU49" s="707"/>
      <c r="AV49" s="707"/>
      <c r="AW49" s="707"/>
    </row>
    <row r="50" spans="2:49">
      <c r="B50" s="707"/>
      <c r="C50" s="707"/>
      <c r="D50" s="707"/>
      <c r="E50" s="707"/>
      <c r="F50" s="707"/>
      <c r="G50" s="707"/>
      <c r="H50" s="707"/>
      <c r="I50" s="707"/>
      <c r="J50" s="708"/>
      <c r="K50" s="709"/>
      <c r="L50" s="709"/>
      <c r="M50" s="709"/>
      <c r="N50" s="709"/>
      <c r="O50" s="707"/>
      <c r="P50" s="707"/>
      <c r="Q50" s="706"/>
      <c r="R50" s="706"/>
      <c r="S50" s="659"/>
      <c r="T50" s="659"/>
      <c r="U50" s="659"/>
      <c r="V50" s="659"/>
      <c r="W50" s="659"/>
      <c r="X50" s="659"/>
      <c r="Y50" s="659"/>
      <c r="Z50" s="659"/>
      <c r="AA50" s="659"/>
      <c r="AB50" s="659"/>
      <c r="AH50" s="707"/>
      <c r="AI50" s="707"/>
      <c r="AJ50" s="707"/>
      <c r="AK50" s="707"/>
      <c r="AL50" s="707"/>
      <c r="AM50" s="707"/>
      <c r="AN50" s="707"/>
      <c r="AO50" s="707"/>
      <c r="AP50" s="707"/>
      <c r="AQ50" s="707"/>
      <c r="AR50" s="707"/>
      <c r="AS50" s="707"/>
      <c r="AT50" s="707"/>
      <c r="AU50" s="707"/>
      <c r="AV50" s="707"/>
      <c r="AW50" s="707"/>
    </row>
    <row r="51" spans="2:49">
      <c r="B51" s="707"/>
      <c r="C51" s="707"/>
      <c r="D51" s="707"/>
      <c r="E51" s="707"/>
      <c r="F51" s="707"/>
      <c r="G51" s="707"/>
      <c r="H51" s="707"/>
      <c r="I51" s="707"/>
      <c r="J51" s="708"/>
      <c r="K51" s="709"/>
      <c r="L51" s="709"/>
      <c r="M51" s="709"/>
      <c r="N51" s="709"/>
      <c r="O51" s="707"/>
      <c r="P51" s="710"/>
      <c r="Q51" s="710"/>
      <c r="R51" s="710"/>
      <c r="S51" s="659"/>
      <c r="T51" s="659"/>
      <c r="U51" s="659"/>
      <c r="V51" s="659"/>
      <c r="W51" s="659"/>
      <c r="X51" s="659"/>
      <c r="Y51" s="659"/>
      <c r="Z51" s="659"/>
      <c r="AA51" s="659"/>
      <c r="AB51" s="659"/>
      <c r="AC51" s="659"/>
      <c r="AD51" s="659"/>
      <c r="AE51" s="659"/>
      <c r="AF51" s="659"/>
      <c r="AG51" s="659"/>
      <c r="AH51" s="707"/>
      <c r="AI51" s="707"/>
      <c r="AJ51" s="707"/>
      <c r="AK51" s="707"/>
      <c r="AL51" s="707"/>
      <c r="AM51" s="707"/>
      <c r="AN51" s="707"/>
      <c r="AO51" s="707"/>
      <c r="AP51" s="707"/>
      <c r="AQ51" s="707"/>
      <c r="AR51" s="707"/>
      <c r="AS51" s="707"/>
      <c r="AT51" s="707"/>
      <c r="AU51" s="707"/>
      <c r="AV51" s="707"/>
      <c r="AW51" s="707"/>
    </row>
    <row r="52" spans="2:49">
      <c r="N52" s="672"/>
      <c r="O52" s="672"/>
      <c r="P52" s="672"/>
      <c r="Q52" s="672"/>
      <c r="R52" s="660"/>
      <c r="S52" s="660"/>
      <c r="AB52" s="672"/>
      <c r="AC52" s="672"/>
      <c r="AD52" s="680"/>
      <c r="AE52" s="664"/>
      <c r="AF52" s="680"/>
      <c r="AG52" s="680"/>
      <c r="AH52" s="680"/>
      <c r="AI52" s="680"/>
      <c r="AJ52" s="660"/>
      <c r="AK52" s="660"/>
    </row>
    <row r="53" spans="2:49">
      <c r="N53" s="672"/>
      <c r="O53" s="672"/>
      <c r="P53" s="672"/>
      <c r="Q53" s="672"/>
      <c r="R53" s="660"/>
      <c r="S53" s="660"/>
      <c r="AB53" s="672"/>
      <c r="AC53" s="672"/>
      <c r="AD53" s="664"/>
      <c r="AE53" s="680"/>
      <c r="AF53" s="680"/>
      <c r="AG53" s="680"/>
      <c r="AH53" s="680"/>
      <c r="AI53" s="680"/>
      <c r="AJ53" s="660"/>
      <c r="AK53" s="660"/>
      <c r="AL53" s="672"/>
      <c r="AM53" s="672"/>
      <c r="AN53" s="672"/>
      <c r="AO53" s="672"/>
      <c r="AP53" s="672"/>
      <c r="AQ53" s="660"/>
    </row>
    <row r="54" spans="2:49">
      <c r="O54" s="730"/>
      <c r="P54" s="730"/>
      <c r="Q54" s="730"/>
      <c r="R54" s="660"/>
      <c r="S54" s="660"/>
      <c r="AE54" s="664"/>
      <c r="AF54" s="664"/>
      <c r="AG54" s="664"/>
      <c r="AH54" s="680"/>
      <c r="AI54" s="680"/>
      <c r="AJ54" s="660"/>
      <c r="AK54" s="660"/>
      <c r="AL54" s="672"/>
      <c r="AM54" s="672"/>
      <c r="AN54" s="672"/>
      <c r="AO54" s="672"/>
      <c r="AP54" s="672"/>
      <c r="AQ54" s="660"/>
    </row>
    <row r="55" spans="2:49">
      <c r="S55" s="660"/>
      <c r="AO55" s="660"/>
      <c r="AP55" s="660"/>
      <c r="AQ55" s="660"/>
    </row>
    <row r="56" spans="2:49">
      <c r="S56" s="660"/>
      <c r="AG56" s="660"/>
      <c r="AH56" s="660"/>
      <c r="AI56" s="660"/>
      <c r="AJ56" s="660"/>
      <c r="AK56" s="660"/>
      <c r="AO56" s="660"/>
      <c r="AP56" s="660"/>
      <c r="AQ56" s="660"/>
    </row>
    <row r="57" spans="2:49">
      <c r="S57" s="730"/>
      <c r="AB57" s="730"/>
      <c r="AC57" s="730"/>
      <c r="AD57" s="660"/>
      <c r="AE57" s="660"/>
      <c r="AF57" s="660"/>
      <c r="AG57" s="660"/>
      <c r="AH57" s="660"/>
      <c r="AI57" s="660"/>
      <c r="AJ57" s="660"/>
      <c r="AK57" s="660"/>
    </row>
    <row r="58" spans="2:49">
      <c r="P58" s="672"/>
      <c r="Q58" s="672"/>
      <c r="R58" s="660"/>
      <c r="S58" s="660"/>
      <c r="AE58" s="660"/>
      <c r="AF58" s="660"/>
      <c r="AG58" s="660"/>
      <c r="AH58" s="660"/>
      <c r="AI58" s="660"/>
      <c r="AJ58" s="660"/>
      <c r="AK58" s="660"/>
    </row>
    <row r="59" spans="2:49">
      <c r="N59" s="730"/>
      <c r="O59" s="730"/>
      <c r="P59" s="730"/>
      <c r="Q59" s="730"/>
      <c r="R59" s="660"/>
      <c r="S59" s="660"/>
      <c r="T59" s="660"/>
      <c r="U59" s="730"/>
      <c r="V59" s="730"/>
      <c r="W59" s="730"/>
      <c r="X59" s="730"/>
      <c r="Y59" s="730"/>
      <c r="Z59" s="730"/>
      <c r="AA59" s="730"/>
      <c r="AB59" s="730"/>
      <c r="AC59" s="730"/>
      <c r="AD59" s="660"/>
      <c r="AE59" s="660"/>
      <c r="AF59" s="660"/>
      <c r="AG59" s="660"/>
      <c r="AH59" s="660"/>
      <c r="AI59" s="660"/>
      <c r="AJ59" s="660"/>
      <c r="AK59" s="660"/>
    </row>
    <row r="60" spans="2:49">
      <c r="K60" s="672"/>
      <c r="L60" s="672"/>
      <c r="M60" s="672"/>
      <c r="N60" s="672"/>
      <c r="O60" s="672"/>
      <c r="P60" s="672"/>
      <c r="Q60" s="672"/>
      <c r="R60" s="672"/>
      <c r="S60" s="672"/>
      <c r="T60" s="672"/>
      <c r="U60" s="672"/>
      <c r="V60" s="672"/>
      <c r="W60" s="672"/>
      <c r="X60" s="672"/>
      <c r="Y60" s="672"/>
      <c r="Z60" s="672"/>
      <c r="AA60" s="672"/>
      <c r="AB60" s="672"/>
      <c r="AC60" s="672"/>
      <c r="AD60" s="660"/>
      <c r="AE60" s="660"/>
      <c r="AF60" s="660"/>
      <c r="AG60" s="660"/>
      <c r="AH60" s="660"/>
      <c r="AI60" s="660"/>
      <c r="AJ60" s="660"/>
      <c r="AK60" s="660"/>
    </row>
    <row r="61" spans="2:49">
      <c r="S61" s="672"/>
      <c r="T61" s="672"/>
      <c r="U61" s="672"/>
      <c r="V61" s="672"/>
      <c r="W61" s="672"/>
      <c r="X61" s="672"/>
      <c r="Y61" s="672"/>
      <c r="Z61" s="672"/>
      <c r="AA61" s="672"/>
      <c r="AB61" s="672"/>
      <c r="AC61" s="672"/>
      <c r="AD61" s="660"/>
      <c r="AE61" s="660"/>
      <c r="AF61" s="660"/>
      <c r="AG61" s="660"/>
      <c r="AH61" s="660"/>
      <c r="AI61" s="660"/>
      <c r="AJ61" s="660"/>
      <c r="AK61" s="660"/>
    </row>
  </sheetData>
  <mergeCells count="194">
    <mergeCell ref="A41:B41"/>
    <mergeCell ref="C41:H41"/>
    <mergeCell ref="I41:J41"/>
    <mergeCell ref="K41:P41"/>
    <mergeCell ref="A38:B38"/>
    <mergeCell ref="C38:M38"/>
    <mergeCell ref="Q38:R38"/>
    <mergeCell ref="S38:AA38"/>
    <mergeCell ref="A40:B40"/>
    <mergeCell ref="C40:P40"/>
    <mergeCell ref="Q40:S40"/>
    <mergeCell ref="T40:Z40"/>
    <mergeCell ref="AA40:AC40"/>
    <mergeCell ref="A37:B37"/>
    <mergeCell ref="C37:P37"/>
    <mergeCell ref="Q37:R37"/>
    <mergeCell ref="S37:AH37"/>
    <mergeCell ref="AI37:AJ37"/>
    <mergeCell ref="AD40:AL40"/>
    <mergeCell ref="AK37:AT37"/>
    <mergeCell ref="A35:B35"/>
    <mergeCell ref="C35:H35"/>
    <mergeCell ref="J35:K35"/>
    <mergeCell ref="L35:U35"/>
    <mergeCell ref="X35:Y35"/>
    <mergeCell ref="Z35:AH35"/>
    <mergeCell ref="BA33:BC33"/>
    <mergeCell ref="A34:B34"/>
    <mergeCell ref="C34:K34"/>
    <mergeCell ref="L34:M34"/>
    <mergeCell ref="N34:V34"/>
    <mergeCell ref="X34:Y34"/>
    <mergeCell ref="Z34:AE34"/>
    <mergeCell ref="AG34:AH34"/>
    <mergeCell ref="AI34:AP34"/>
    <mergeCell ref="R31:S32"/>
    <mergeCell ref="T31:T32"/>
    <mergeCell ref="U31:Y31"/>
    <mergeCell ref="H32:L32"/>
    <mergeCell ref="U32:Y32"/>
    <mergeCell ref="BA32:BB32"/>
    <mergeCell ref="AQ28:AV28"/>
    <mergeCell ref="AL29:AO29"/>
    <mergeCell ref="AQ29:AV29"/>
    <mergeCell ref="N27:N28"/>
    <mergeCell ref="O27:S27"/>
    <mergeCell ref="T27:T28"/>
    <mergeCell ref="U27:U28"/>
    <mergeCell ref="V27:V28"/>
    <mergeCell ref="B31:C32"/>
    <mergeCell ref="D31:D32"/>
    <mergeCell ref="E31:F32"/>
    <mergeCell ref="G31:G32"/>
    <mergeCell ref="H31:L31"/>
    <mergeCell ref="O31:P32"/>
    <mergeCell ref="Q31:Q32"/>
    <mergeCell ref="AH27:AH29"/>
    <mergeCell ref="AI27:AV27"/>
    <mergeCell ref="I28:K28"/>
    <mergeCell ref="L28:M28"/>
    <mergeCell ref="O28:S28"/>
    <mergeCell ref="X28:Y28"/>
    <mergeCell ref="AI28:AJ29"/>
    <mergeCell ref="AK28:AK29"/>
    <mergeCell ref="AL28:AO28"/>
    <mergeCell ref="AP28:AP29"/>
    <mergeCell ref="W27:W28"/>
    <mergeCell ref="X27:Y27"/>
    <mergeCell ref="Z27:Z28"/>
    <mergeCell ref="AA27:AA28"/>
    <mergeCell ref="AB27:AC28"/>
    <mergeCell ref="AF27:AG29"/>
    <mergeCell ref="I27:M27"/>
    <mergeCell ref="B25:G25"/>
    <mergeCell ref="A26:J26"/>
    <mergeCell ref="AE26:AN26"/>
    <mergeCell ref="AO26:AU26"/>
    <mergeCell ref="B27:C28"/>
    <mergeCell ref="D27:D28"/>
    <mergeCell ref="E27:E28"/>
    <mergeCell ref="F27:F28"/>
    <mergeCell ref="G27:G28"/>
    <mergeCell ref="H27:H28"/>
    <mergeCell ref="T21:W21"/>
    <mergeCell ref="B22:C23"/>
    <mergeCell ref="D22:D23"/>
    <mergeCell ref="E22:E23"/>
    <mergeCell ref="F22:I23"/>
    <mergeCell ref="J22:K23"/>
    <mergeCell ref="L22:N22"/>
    <mergeCell ref="O22:Q22"/>
    <mergeCell ref="L23:N23"/>
    <mergeCell ref="O23:Q23"/>
    <mergeCell ref="L20:N20"/>
    <mergeCell ref="O20:Q20"/>
    <mergeCell ref="A21:G21"/>
    <mergeCell ref="H21:L21"/>
    <mergeCell ref="M21:P21"/>
    <mergeCell ref="Q21:S21"/>
    <mergeCell ref="A18:F18"/>
    <mergeCell ref="G18:K18"/>
    <mergeCell ref="L18:O18"/>
    <mergeCell ref="B19:C20"/>
    <mergeCell ref="D19:D20"/>
    <mergeCell ref="E19:E20"/>
    <mergeCell ref="F19:I20"/>
    <mergeCell ref="J19:K20"/>
    <mergeCell ref="L19:N19"/>
    <mergeCell ref="O19:Q19"/>
    <mergeCell ref="AE16:AG16"/>
    <mergeCell ref="AI16:AJ16"/>
    <mergeCell ref="AL16:AP16"/>
    <mergeCell ref="K17:M17"/>
    <mergeCell ref="N17:Q17"/>
    <mergeCell ref="T17:AG17"/>
    <mergeCell ref="AI17:AJ17"/>
    <mergeCell ref="AL17:AP17"/>
    <mergeCell ref="AI15:AJ15"/>
    <mergeCell ref="AL15:AP15"/>
    <mergeCell ref="E16:E17"/>
    <mergeCell ref="F16:H17"/>
    <mergeCell ref="I16:J17"/>
    <mergeCell ref="K16:R16"/>
    <mergeCell ref="S16:S17"/>
    <mergeCell ref="U16:X16"/>
    <mergeCell ref="Y16:Z16"/>
    <mergeCell ref="AA16:AD16"/>
    <mergeCell ref="A14:H14"/>
    <mergeCell ref="I14:M14"/>
    <mergeCell ref="N14:Q14"/>
    <mergeCell ref="B15:C17"/>
    <mergeCell ref="D15:D17"/>
    <mergeCell ref="N15:X15"/>
    <mergeCell ref="AI12:AI13"/>
    <mergeCell ref="AJ12:AK13"/>
    <mergeCell ref="AM12:AO12"/>
    <mergeCell ref="AQ12:AQ13"/>
    <mergeCell ref="AR12:AR13"/>
    <mergeCell ref="AS12:AU13"/>
    <mergeCell ref="AL13:AP13"/>
    <mergeCell ref="P12:P13"/>
    <mergeCell ref="Q12:W12"/>
    <mergeCell ref="X12:X13"/>
    <mergeCell ref="Z12:AB12"/>
    <mergeCell ref="AC12:AD12"/>
    <mergeCell ref="AE12:AG12"/>
    <mergeCell ref="Q13:S13"/>
    <mergeCell ref="T13:V13"/>
    <mergeCell ref="Y13:AH13"/>
    <mergeCell ref="A11:H11"/>
    <mergeCell ref="I11:M11"/>
    <mergeCell ref="N11:P11"/>
    <mergeCell ref="B12:C13"/>
    <mergeCell ref="D12:D13"/>
    <mergeCell ref="E12:E13"/>
    <mergeCell ref="F12:I13"/>
    <mergeCell ref="J12:K13"/>
    <mergeCell ref="L12:N13"/>
    <mergeCell ref="O12:O13"/>
    <mergeCell ref="T10:Z10"/>
    <mergeCell ref="AA10:AE10"/>
    <mergeCell ref="AF10:AK10"/>
    <mergeCell ref="AL10:AQ10"/>
    <mergeCell ref="AR10:AW10"/>
    <mergeCell ref="A9:K9"/>
    <mergeCell ref="L9:S9"/>
    <mergeCell ref="T9:Z9"/>
    <mergeCell ref="AA9:AE9"/>
    <mergeCell ref="AF9:AK9"/>
    <mergeCell ref="AL9:AQ9"/>
    <mergeCell ref="V11:Y11"/>
    <mergeCell ref="R11:U11"/>
    <mergeCell ref="AR1:AW1"/>
    <mergeCell ref="AL2:AQ3"/>
    <mergeCell ref="AR2:AW3"/>
    <mergeCell ref="D6:H6"/>
    <mergeCell ref="AB6:AE6"/>
    <mergeCell ref="D7:H7"/>
    <mergeCell ref="AB7:AE7"/>
    <mergeCell ref="J6:K6"/>
    <mergeCell ref="J7:M7"/>
    <mergeCell ref="AG7:AK7"/>
    <mergeCell ref="D4:H4"/>
    <mergeCell ref="J4:O4"/>
    <mergeCell ref="D5:H5"/>
    <mergeCell ref="J5:Z5"/>
    <mergeCell ref="AB5:AE5"/>
    <mergeCell ref="AG5:AK5"/>
    <mergeCell ref="AG6:AK6"/>
    <mergeCell ref="T1:AD2"/>
    <mergeCell ref="AL1:AQ1"/>
    <mergeCell ref="AR9:AW9"/>
    <mergeCell ref="A10:K10"/>
    <mergeCell ref="L10:S10"/>
  </mergeCells>
  <phoneticPr fontId="2" type="noConversion"/>
  <printOptions horizontalCentered="1" verticalCentered="1"/>
  <pageMargins left="0.39370078740157483" right="0.39370078740157483" top="0" bottom="0" header="3.937007874015748E-2" footer="0.39370078740157483"/>
  <pageSetup paperSize="9" scale="77" orientation="portrait" r:id="rId1"/>
  <headerFooter>
    <oddFooter>&amp;L&amp;"+,보통"&amp;10fKET-QP-18-01(1)&amp;R&amp;"+,보통"&amp;10한국종합환경산업(주)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41"/>
  <sheetViews>
    <sheetView view="pageBreakPreview" zoomScale="130" zoomScaleNormal="100" zoomScaleSheetLayoutView="130" workbookViewId="0">
      <selection activeCell="T23" sqref="S23:T23"/>
    </sheetView>
  </sheetViews>
  <sheetFormatPr defaultColWidth="9" defaultRowHeight="16.899999999999999"/>
  <cols>
    <col min="1" max="1" width="12.75" style="757" customWidth="1"/>
    <col min="2" max="2" width="2" style="757" bestFit="1" customWidth="1"/>
    <col min="3" max="3" width="5.125" style="757" customWidth="1"/>
    <col min="4" max="4" width="7.375" style="757" customWidth="1"/>
    <col min="5" max="5" width="14.125" style="757" customWidth="1"/>
    <col min="6" max="6" width="5" style="757" customWidth="1"/>
    <col min="7" max="7" width="8.5" style="757" customWidth="1"/>
    <col min="8" max="8" width="2.375" style="757" customWidth="1"/>
    <col min="9" max="9" width="6" style="757" customWidth="1"/>
    <col min="10" max="10" width="7.875" style="757" customWidth="1"/>
    <col min="11" max="11" width="2.625" style="757" customWidth="1"/>
    <col min="12" max="12" width="7.75" style="757" customWidth="1"/>
    <col min="13" max="13" width="2.875" style="757" customWidth="1"/>
    <col min="14" max="15" width="6" style="757" customWidth="1"/>
    <col min="16" max="17" width="2.125" style="757" customWidth="1"/>
    <col min="18" max="18" width="3.5" style="757" customWidth="1"/>
    <col min="19" max="25" width="6" style="757" customWidth="1"/>
    <col min="26" max="16384" width="9" style="757"/>
  </cols>
  <sheetData>
    <row r="1" spans="1:24" s="744" customFormat="1" ht="18.75" customHeight="1">
      <c r="A1" s="1966" t="s">
        <v>635</v>
      </c>
      <c r="B1" s="1966"/>
      <c r="C1" s="1966"/>
      <c r="D1" s="1966"/>
      <c r="E1" s="1966"/>
      <c r="F1" s="1966"/>
      <c r="G1" s="1966"/>
      <c r="H1" s="1966"/>
      <c r="I1" s="1966"/>
      <c r="J1" s="1965" t="s">
        <v>935</v>
      </c>
      <c r="K1" s="1965"/>
      <c r="L1" s="1965" t="s">
        <v>852</v>
      </c>
      <c r="M1" s="1965"/>
      <c r="N1" s="742"/>
      <c r="O1" s="743"/>
      <c r="P1" s="743"/>
      <c r="Q1" s="743"/>
      <c r="R1" s="743"/>
      <c r="S1" s="743"/>
      <c r="T1" s="743"/>
      <c r="U1" s="743"/>
      <c r="V1" s="743"/>
      <c r="W1" s="743"/>
      <c r="X1" s="743"/>
    </row>
    <row r="2" spans="1:24" s="744" customFormat="1" ht="28.5" customHeight="1">
      <c r="A2" s="1966"/>
      <c r="B2" s="1966"/>
      <c r="C2" s="1966"/>
      <c r="D2" s="1966"/>
      <c r="E2" s="1966"/>
      <c r="F2" s="1966"/>
      <c r="G2" s="1966"/>
      <c r="H2" s="1966"/>
      <c r="I2" s="1966"/>
      <c r="J2" s="1965"/>
      <c r="K2" s="1965"/>
      <c r="L2" s="1965"/>
      <c r="M2" s="1965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</row>
    <row r="3" spans="1:24" s="744" customFormat="1" ht="15.75" customHeight="1">
      <c r="A3" s="1967" t="s">
        <v>649</v>
      </c>
      <c r="B3" s="1969" t="s">
        <v>46</v>
      </c>
      <c r="C3" s="746">
        <f>'대기측정 분석결과서'!E4</f>
        <v>0</v>
      </c>
      <c r="D3" s="746"/>
      <c r="E3" s="746"/>
      <c r="F3" s="1968" t="s">
        <v>515</v>
      </c>
      <c r="G3" s="1968"/>
      <c r="H3" s="1969" t="s">
        <v>46</v>
      </c>
      <c r="I3" s="1971">
        <f>'먼지측정 사전 Data'!N5</f>
        <v>0</v>
      </c>
      <c r="J3" s="1971"/>
      <c r="K3" s="1971"/>
      <c r="L3" s="1971"/>
      <c r="M3" s="747"/>
      <c r="N3" s="747"/>
    </row>
    <row r="4" spans="1:24" s="744" customFormat="1" ht="15.75" customHeight="1">
      <c r="A4" s="1967"/>
      <c r="B4" s="1969"/>
      <c r="C4" s="1970" t="str">
        <f>'대기측정 분석결과서'!E9&amp;" "&amp;'대기측정 분석결과서'!H13</f>
        <v xml:space="preserve"> </v>
      </c>
      <c r="D4" s="1970"/>
      <c r="E4" s="1970"/>
      <c r="F4" s="1968"/>
      <c r="G4" s="1968"/>
      <c r="H4" s="1969"/>
      <c r="I4" s="1971"/>
      <c r="J4" s="1971"/>
      <c r="K4" s="1971"/>
      <c r="L4" s="1971"/>
      <c r="M4" s="747"/>
      <c r="N4" s="747"/>
    </row>
    <row r="5" spans="1:24" s="744" customFormat="1" ht="15.75" customHeight="1">
      <c r="A5" s="748" t="s">
        <v>646</v>
      </c>
      <c r="B5" s="749" t="s">
        <v>46</v>
      </c>
      <c r="C5" s="746" t="str">
        <f>CONCATENATE(C10,"  ",C11,"  ",C12,"  ",C13,"  ",C14)</f>
        <v xml:space="preserve">O2  CO2      </v>
      </c>
      <c r="D5" s="746"/>
      <c r="E5" s="746"/>
      <c r="F5" s="1968" t="s">
        <v>636</v>
      </c>
      <c r="G5" s="1968"/>
      <c r="H5" s="749" t="s">
        <v>46</v>
      </c>
      <c r="I5" s="1971">
        <f>'먼지측정 사전 Data'!N6</f>
        <v>46059</v>
      </c>
      <c r="J5" s="1971"/>
      <c r="K5" s="1971"/>
      <c r="L5" s="1971"/>
      <c r="M5" s="1971"/>
      <c r="N5" s="747"/>
    </row>
    <row r="6" spans="1:24" s="744" customFormat="1" ht="15.75" customHeight="1">
      <c r="A6" s="748" t="s">
        <v>645</v>
      </c>
      <c r="B6" s="749" t="s">
        <v>46</v>
      </c>
      <c r="C6" s="746" t="s">
        <v>638</v>
      </c>
      <c r="D6" s="746"/>
      <c r="E6" s="746"/>
      <c r="F6" s="1968" t="s">
        <v>639</v>
      </c>
      <c r="G6" s="1968"/>
      <c r="H6" s="749" t="s">
        <v>46</v>
      </c>
      <c r="I6" s="1975" t="str">
        <f>'먼지측정 사전 Data'!H4&amp;IF('먼지측정 사전 Data'!K4="","",", "&amp;'먼지측정 사전 Data'!K4)</f>
        <v/>
      </c>
      <c r="J6" s="1975"/>
      <c r="K6" s="1975"/>
      <c r="L6" s="1975"/>
      <c r="M6" s="750"/>
      <c r="N6" s="750"/>
    </row>
    <row r="7" spans="1:24" s="744" customFormat="1" ht="15.75" customHeight="1">
      <c r="A7" s="748" t="s">
        <v>647</v>
      </c>
      <c r="B7" s="749" t="s">
        <v>46</v>
      </c>
      <c r="C7" s="746" t="s">
        <v>640</v>
      </c>
      <c r="D7" s="746"/>
      <c r="E7" s="751"/>
      <c r="F7" s="1968" t="s">
        <v>735</v>
      </c>
      <c r="G7" s="1968"/>
      <c r="H7" s="749" t="s">
        <v>46</v>
      </c>
      <c r="I7" s="1972" t="str">
        <f>"KGAR-"&amp;RIGHT(YEAR('먼지측정 사전 Data'!N6),2)&amp;"-"&amp;LEFT('한종_시료채취기록지 (사용X)'!V2,6)&amp;"-"&amp;RIGHT('한종_시료채취기록지 (사용X)'!V2,2)</f>
        <v>KGAR-26-0-0</v>
      </c>
      <c r="J7" s="1972"/>
      <c r="K7" s="1972"/>
      <c r="L7" s="1972"/>
      <c r="M7" s="752"/>
      <c r="N7" s="752"/>
      <c r="T7" s="752"/>
      <c r="U7" s="752"/>
      <c r="V7" s="752"/>
      <c r="W7" s="752"/>
      <c r="X7" s="752"/>
    </row>
    <row r="8" spans="1:24" s="744" customFormat="1" ht="15.75" customHeight="1">
      <c r="A8" s="753"/>
      <c r="B8" s="754"/>
      <c r="C8" s="749"/>
      <c r="D8" s="746"/>
      <c r="E8" s="746"/>
      <c r="F8" s="751"/>
      <c r="G8" s="751"/>
      <c r="H8" s="751"/>
      <c r="L8" s="752"/>
      <c r="M8" s="752"/>
      <c r="N8" s="752"/>
      <c r="O8" s="752"/>
      <c r="P8" s="752"/>
      <c r="Q8" s="752"/>
      <c r="R8" s="752"/>
      <c r="S8" s="752"/>
      <c r="T8" s="752"/>
      <c r="U8" s="752"/>
      <c r="V8" s="752"/>
      <c r="W8" s="752"/>
      <c r="X8" s="752"/>
    </row>
    <row r="9" spans="1:24" s="744" customFormat="1" ht="15.75" customHeight="1">
      <c r="A9" s="748" t="s">
        <v>648</v>
      </c>
      <c r="B9" s="749" t="s">
        <v>46</v>
      </c>
      <c r="C9" s="1969" t="s">
        <v>641</v>
      </c>
      <c r="D9" s="1969"/>
      <c r="E9" s="1969"/>
      <c r="F9" s="749"/>
      <c r="G9" s="1969" t="s">
        <v>642</v>
      </c>
      <c r="H9" s="1969"/>
      <c r="I9" s="1969"/>
      <c r="J9" s="1969"/>
      <c r="K9" s="1969"/>
      <c r="L9" s="745"/>
      <c r="N9" s="745"/>
      <c r="O9" s="745"/>
      <c r="P9" s="745"/>
      <c r="Q9" s="745"/>
      <c r="W9" s="752"/>
      <c r="X9" s="752"/>
    </row>
    <row r="10" spans="1:24" s="744" customFormat="1" ht="15.75" customHeight="1">
      <c r="A10" s="753"/>
      <c r="C10" s="1969" t="s">
        <v>853</v>
      </c>
      <c r="D10" s="1969"/>
      <c r="E10" s="1969"/>
      <c r="F10" s="749" t="s">
        <v>46</v>
      </c>
      <c r="G10" s="1974">
        <f>'먼지측정 사전 Data'!H14</f>
        <v>0</v>
      </c>
      <c r="H10" s="1974"/>
      <c r="I10" s="1974"/>
      <c r="J10" s="1974"/>
      <c r="K10" s="745"/>
      <c r="L10" s="755" t="s">
        <v>643</v>
      </c>
      <c r="N10" s="745"/>
      <c r="O10" s="745"/>
      <c r="P10" s="745"/>
      <c r="W10" s="752"/>
      <c r="X10" s="752"/>
    </row>
    <row r="11" spans="1:24" s="744" customFormat="1" ht="15.75" customHeight="1">
      <c r="C11" s="1969" t="s">
        <v>854</v>
      </c>
      <c r="D11" s="1969"/>
      <c r="E11" s="1969"/>
      <c r="F11" s="749" t="s">
        <v>46</v>
      </c>
      <c r="G11" s="1974">
        <f>'먼지측정 사전 Data'!H16</f>
        <v>0</v>
      </c>
      <c r="H11" s="1974"/>
      <c r="I11" s="1974"/>
      <c r="J11" s="1974"/>
      <c r="K11" s="745"/>
      <c r="L11" s="755" t="s">
        <v>643</v>
      </c>
      <c r="N11" s="745"/>
      <c r="O11" s="745"/>
      <c r="P11" s="745"/>
      <c r="W11" s="752"/>
      <c r="X11" s="752"/>
    </row>
    <row r="12" spans="1:24" s="744" customFormat="1" ht="15.75" customHeight="1">
      <c r="C12" s="1969" t="str">
        <f>IF('먼지측정 사전 Data'!H21="",IF('먼지측정 사전 Data'!H22="",IF('먼지측정 사전 Data'!Q22="","","CO"),"SOx"),"NOx")</f>
        <v/>
      </c>
      <c r="D12" s="1969"/>
      <c r="E12" s="1969"/>
      <c r="F12" s="749" t="str">
        <f>IF(C12="","",":")</f>
        <v/>
      </c>
      <c r="G12" s="1973" t="str">
        <f>IF(C12="NOx",'먼지측정 사전 Data'!M21,IF(C12="SOx",'먼지측정 사전 Data'!M22,IF(C12="CO",'먼지측정 사전 Data'!V22,IF(C12="","","없다찾아봐"))))</f>
        <v/>
      </c>
      <c r="H12" s="1973"/>
      <c r="I12" s="745" t="str">
        <f>IF(OR(C12="",'먼지측정 사전 Data'!$R$13=20.9),"","("&amp;'먼지측정 사전 Data'!$R$13&amp;")")</f>
        <v/>
      </c>
      <c r="J12" s="745"/>
      <c r="K12" s="745"/>
      <c r="L12" s="755" t="str">
        <f>IF(C12="","","ppm")</f>
        <v/>
      </c>
      <c r="N12" s="745"/>
      <c r="O12" s="745"/>
      <c r="P12" s="745"/>
      <c r="W12" s="752"/>
      <c r="X12" s="752"/>
    </row>
    <row r="13" spans="1:24" s="744" customFormat="1" ht="15.75" customHeight="1">
      <c r="C13" s="1969" t="str">
        <f>IF('먼지측정 사전 Data'!H22="",IF('먼지측정 사전 Data'!Q22="","",IF(C12="CO","","CO")),IF(C12="SOx","","SOx"))</f>
        <v/>
      </c>
      <c r="D13" s="1969"/>
      <c r="E13" s="1969"/>
      <c r="F13" s="749" t="str">
        <f>IF(C13="","",":")</f>
        <v/>
      </c>
      <c r="G13" s="1973" t="str">
        <f>IF(C13="NOx",'먼지측정 사전 Data'!M21,IF(C13="SOx",'먼지측정 사전 Data'!M22,IF(C13="CO",'먼지측정 사전 Data'!V22,IF(C13="","","없다찾아봐"))))</f>
        <v/>
      </c>
      <c r="H13" s="1973"/>
      <c r="I13" s="745" t="str">
        <f>IF(OR(C13="",'먼지측정 사전 Data'!$R$13=20.9),"","("&amp;'먼지측정 사전 Data'!$R$13&amp;")")</f>
        <v/>
      </c>
      <c r="J13" s="745"/>
      <c r="K13" s="745"/>
      <c r="L13" s="755" t="str">
        <f>IF(C13="","","ppm")</f>
        <v/>
      </c>
      <c r="N13" s="745"/>
      <c r="O13" s="745"/>
      <c r="P13" s="745"/>
      <c r="W13" s="752"/>
      <c r="X13" s="752"/>
    </row>
    <row r="14" spans="1:24" s="744" customFormat="1" ht="15.75" customHeight="1">
      <c r="C14" s="1969" t="str">
        <f>IF('먼지측정 사전 Data'!Q22="","",IF(OR(C12="CO",C13="CO"),"","CO"))</f>
        <v/>
      </c>
      <c r="D14" s="1969"/>
      <c r="E14" s="1969"/>
      <c r="F14" s="749" t="str">
        <f>IF(C14="","",":")</f>
        <v/>
      </c>
      <c r="G14" s="1973" t="str">
        <f>IF(C14="NOx",'먼지측정 사전 Data'!M21,IF(C14="SOx",'먼지측정 사전 Data'!M22,IF(C14="CO",'먼지측정 사전 Data'!V22,IF(C14="","","없다찾아봐"))))</f>
        <v/>
      </c>
      <c r="H14" s="1973"/>
      <c r="I14" s="745" t="str">
        <f>IF(OR(C14="",'먼지측정 사전 Data'!$R$13=20.9),"","("&amp;'먼지측정 사전 Data'!$R$13&amp;")")</f>
        <v/>
      </c>
      <c r="J14" s="745"/>
      <c r="K14" s="745"/>
      <c r="L14" s="755" t="str">
        <f>IF(C14="","","ppm")</f>
        <v/>
      </c>
      <c r="N14" s="745"/>
      <c r="O14" s="745"/>
      <c r="P14" s="745"/>
      <c r="W14" s="752"/>
      <c r="X14" s="752"/>
    </row>
    <row r="15" spans="1:24" s="744" customFormat="1" ht="12.75" customHeight="1">
      <c r="G15" s="1964"/>
      <c r="H15" s="1964"/>
      <c r="I15" s="1964"/>
      <c r="W15" s="745"/>
      <c r="X15" s="745"/>
    </row>
    <row r="16" spans="1:24" s="744" customFormat="1" ht="12.75" customHeight="1">
      <c r="A16" s="1969" t="s">
        <v>644</v>
      </c>
      <c r="B16" s="1969"/>
      <c r="C16" s="1969"/>
      <c r="D16" s="1969"/>
      <c r="E16" s="1969"/>
      <c r="F16" s="1969"/>
      <c r="G16" s="1969"/>
      <c r="H16" s="1969"/>
      <c r="I16" s="1969"/>
      <c r="J16" s="1969"/>
      <c r="K16" s="1969"/>
      <c r="L16" s="1969"/>
      <c r="M16" s="1969"/>
      <c r="N16" s="745"/>
      <c r="O16" s="745"/>
      <c r="P16" s="745"/>
      <c r="Q16" s="745"/>
      <c r="R16" s="745"/>
      <c r="S16" s="745"/>
      <c r="T16" s="745"/>
      <c r="U16" s="745"/>
      <c r="V16" s="745"/>
      <c r="W16" s="745"/>
      <c r="X16" s="745"/>
    </row>
    <row r="41" spans="1:13" ht="17.25" thickBot="1">
      <c r="A41" s="756"/>
      <c r="B41" s="756"/>
      <c r="C41" s="756"/>
      <c r="D41" s="756"/>
      <c r="E41" s="756"/>
      <c r="F41" s="756"/>
      <c r="G41" s="756"/>
      <c r="H41" s="756"/>
      <c r="I41" s="756"/>
      <c r="J41" s="756"/>
      <c r="K41" s="756"/>
      <c r="L41" s="756"/>
      <c r="M41" s="756"/>
    </row>
  </sheetData>
  <mergeCells count="31">
    <mergeCell ref="A16:M16"/>
    <mergeCell ref="I5:M5"/>
    <mergeCell ref="G12:H12"/>
    <mergeCell ref="G11:J11"/>
    <mergeCell ref="G9:K9"/>
    <mergeCell ref="G10:J10"/>
    <mergeCell ref="C14:E14"/>
    <mergeCell ref="C13:E13"/>
    <mergeCell ref="F6:G6"/>
    <mergeCell ref="F5:G5"/>
    <mergeCell ref="I6:L6"/>
    <mergeCell ref="C9:E9"/>
    <mergeCell ref="G14:H14"/>
    <mergeCell ref="G13:H13"/>
    <mergeCell ref="C12:E12"/>
    <mergeCell ref="C11:E11"/>
    <mergeCell ref="G15:I15"/>
    <mergeCell ref="L1:M1"/>
    <mergeCell ref="L2:M2"/>
    <mergeCell ref="J1:K1"/>
    <mergeCell ref="J2:K2"/>
    <mergeCell ref="A1:I2"/>
    <mergeCell ref="A3:A4"/>
    <mergeCell ref="F3:G4"/>
    <mergeCell ref="B3:B4"/>
    <mergeCell ref="C4:E4"/>
    <mergeCell ref="I3:L4"/>
    <mergeCell ref="H3:H4"/>
    <mergeCell ref="C10:E10"/>
    <mergeCell ref="F7:G7"/>
    <mergeCell ref="I7:L7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EB63"/>
  <sheetViews>
    <sheetView view="pageBreakPreview" zoomScaleNormal="100" zoomScaleSheetLayoutView="100" workbookViewId="0">
      <selection activeCell="S34" sqref="S34"/>
    </sheetView>
  </sheetViews>
  <sheetFormatPr defaultColWidth="9" defaultRowHeight="16.899999999999999"/>
  <cols>
    <col min="1" max="1" width="3.375" style="378" customWidth="1"/>
    <col min="2" max="5" width="3.75" style="378" customWidth="1"/>
    <col min="6" max="7" width="4.75" style="378" customWidth="1"/>
    <col min="8" max="8" width="5.5" style="378" customWidth="1"/>
    <col min="9" max="9" width="4.75" style="378" customWidth="1"/>
    <col min="10" max="10" width="2" style="378" customWidth="1"/>
    <col min="11" max="12" width="3" style="378" customWidth="1"/>
    <col min="13" max="13" width="3.5" style="378" customWidth="1"/>
    <col min="14" max="14" width="4.875" style="378" customWidth="1"/>
    <col min="15" max="15" width="3.75" style="378" customWidth="1"/>
    <col min="16" max="16" width="4" style="378" customWidth="1"/>
    <col min="17" max="17" width="4.25" style="378" customWidth="1"/>
    <col min="18" max="18" width="2.625" style="378" customWidth="1"/>
    <col min="19" max="19" width="6.375" style="378" customWidth="1"/>
    <col min="20" max="20" width="6" style="378" customWidth="1"/>
    <col min="21" max="25" width="4.25" style="378" customWidth="1"/>
    <col min="26" max="26" width="5.5" style="378" customWidth="1"/>
    <col min="27" max="32" width="4.25" style="378" customWidth="1"/>
    <col min="33" max="33" width="5.5" style="378" bestFit="1" customWidth="1"/>
    <col min="34" max="35" width="4.25" style="378" customWidth="1"/>
    <col min="36" max="36" width="9" style="378" customWidth="1"/>
    <col min="37" max="37" width="8.375" style="378" customWidth="1"/>
    <col min="38" max="79" width="4.25" style="378" customWidth="1"/>
    <col min="80" max="130" width="9" style="378"/>
    <col min="131" max="131" width="4.25" style="378" customWidth="1"/>
    <col min="132" max="132" width="15.875" style="378" customWidth="1"/>
    <col min="133" max="16384" width="9" style="378"/>
  </cols>
  <sheetData>
    <row r="1" spans="1:47" ht="17.100000000000001" customHeight="1" thickBot="1">
      <c r="A1" s="376" t="s">
        <v>487</v>
      </c>
      <c r="B1" s="377"/>
      <c r="C1" s="377"/>
      <c r="D1" s="377"/>
      <c r="E1" s="377"/>
    </row>
    <row r="2" spans="1:47" ht="44.25" customHeight="1" thickBot="1">
      <c r="A2" s="2030" t="s">
        <v>488</v>
      </c>
      <c r="B2" s="2031"/>
      <c r="C2" s="2031"/>
      <c r="D2" s="2031"/>
      <c r="E2" s="2031"/>
      <c r="F2" s="2031"/>
      <c r="G2" s="2031"/>
      <c r="H2" s="2031"/>
      <c r="I2" s="2031"/>
      <c r="J2" s="2031"/>
      <c r="K2" s="2031"/>
      <c r="L2" s="2031"/>
      <c r="M2" s="2031"/>
      <c r="N2" s="2031"/>
      <c r="O2" s="2031"/>
      <c r="P2" s="2031"/>
      <c r="Q2" s="2031"/>
      <c r="R2" s="2031"/>
      <c r="S2" s="2031"/>
      <c r="T2" s="2032"/>
    </row>
    <row r="3" spans="1:47" ht="18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466</v>
      </c>
      <c r="N3" s="1466"/>
      <c r="O3" s="1467"/>
      <c r="P3" s="1465">
        <f>'대기측정 분석결과서'!E9</f>
        <v>0</v>
      </c>
      <c r="Q3" s="1466"/>
      <c r="R3" s="1466"/>
      <c r="S3" s="1466"/>
      <c r="T3" s="1530"/>
      <c r="V3" s="555" t="s">
        <v>1079</v>
      </c>
      <c r="W3" s="556"/>
      <c r="X3" s="556"/>
      <c r="Y3" s="556"/>
      <c r="Z3" s="556"/>
      <c r="AA3" s="556"/>
      <c r="AB3" s="556"/>
      <c r="AC3" s="556"/>
      <c r="AD3" s="556"/>
      <c r="AE3" s="556"/>
      <c r="AF3" s="556"/>
      <c r="AG3" s="556"/>
      <c r="AH3" s="556"/>
      <c r="AI3" s="556"/>
      <c r="AJ3" s="557"/>
      <c r="AK3" s="403"/>
    </row>
    <row r="4" spans="1:47" ht="18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721</v>
      </c>
      <c r="N4" s="1466"/>
      <c r="O4" s="1467"/>
      <c r="P4" s="1465">
        <f>'대기측정 분석결과서'!E11</f>
        <v>0</v>
      </c>
      <c r="Q4" s="1466"/>
      <c r="R4" s="1466"/>
      <c r="S4" s="1466" t="s">
        <v>341</v>
      </c>
      <c r="T4" s="1530"/>
      <c r="V4" s="1573" t="s">
        <v>609</v>
      </c>
      <c r="W4" s="1573"/>
      <c r="X4" s="1573" t="s">
        <v>631</v>
      </c>
      <c r="Y4" s="1573"/>
      <c r="Z4" s="1573" t="s">
        <v>632</v>
      </c>
      <c r="AA4" s="1573"/>
      <c r="AB4" s="1573" t="s">
        <v>740</v>
      </c>
      <c r="AC4" s="1573"/>
      <c r="AD4" s="1573" t="s">
        <v>883</v>
      </c>
      <c r="AE4" s="1573"/>
      <c r="AF4" s="1573" t="s">
        <v>1070</v>
      </c>
      <c r="AG4" s="1573"/>
      <c r="AH4" s="1573" t="s">
        <v>634</v>
      </c>
      <c r="AI4" s="1573"/>
      <c r="AJ4" s="404" t="s">
        <v>633</v>
      </c>
      <c r="AK4" s="404" t="s">
        <v>1141</v>
      </c>
    </row>
    <row r="5" spans="1:47" ht="18" customHeight="1" thickTop="1" thickBot="1">
      <c r="A5" s="1489"/>
      <c r="B5" s="1473" t="s">
        <v>342</v>
      </c>
      <c r="C5" s="1473"/>
      <c r="D5" s="1473"/>
      <c r="E5" s="1473"/>
      <c r="F5" s="2033">
        <f>'대기측정 분석결과서'!E6</f>
        <v>0</v>
      </c>
      <c r="G5" s="2034"/>
      <c r="H5" s="2034"/>
      <c r="I5" s="2034"/>
      <c r="J5" s="2034"/>
      <c r="K5" s="2035"/>
      <c r="L5" s="1473"/>
      <c r="M5" s="1531" t="s">
        <v>343</v>
      </c>
      <c r="N5" s="1515"/>
      <c r="O5" s="1532"/>
      <c r="P5" s="1531" t="str">
        <f>'대기측정 분석결과서'!L9</f>
        <v>자동차</v>
      </c>
      <c r="Q5" s="1515"/>
      <c r="R5" s="1515"/>
      <c r="S5" s="1515"/>
      <c r="T5" s="1516"/>
      <c r="V5" s="156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405"/>
      <c r="AK5" s="405"/>
    </row>
    <row r="6" spans="1:47" ht="18" customHeight="1" thickTop="1" thickBot="1">
      <c r="A6" s="1489"/>
      <c r="B6" s="1473" t="s">
        <v>460</v>
      </c>
      <c r="C6" s="1473"/>
      <c r="D6" s="1473"/>
      <c r="E6" s="1473"/>
      <c r="F6" s="1458" t="str">
        <f>'대기측정 분석결과서'!E7</f>
        <v>여 형 석</v>
      </c>
      <c r="G6" s="1459"/>
      <c r="H6" s="1459"/>
      <c r="I6" s="1459"/>
      <c r="J6" s="1459"/>
      <c r="K6" s="1460"/>
      <c r="L6" s="1473"/>
      <c r="M6" s="1533"/>
      <c r="N6" s="1517"/>
      <c r="O6" s="1534"/>
      <c r="P6" s="1533"/>
      <c r="Q6" s="1517"/>
      <c r="R6" s="1517"/>
      <c r="S6" s="1517"/>
      <c r="T6" s="1518"/>
      <c r="V6" s="1566"/>
      <c r="W6" s="1566"/>
      <c r="X6" s="1566"/>
      <c r="Y6" s="1566"/>
      <c r="Z6" s="1566"/>
      <c r="AA6" s="1566"/>
      <c r="AB6" s="1566"/>
      <c r="AC6" s="1566"/>
      <c r="AD6" s="1566"/>
      <c r="AE6" s="1566"/>
      <c r="AF6" s="1574"/>
      <c r="AG6" s="1574"/>
      <c r="AH6" s="1566"/>
      <c r="AI6" s="1566"/>
      <c r="AJ6" s="406"/>
      <c r="AK6" s="406"/>
    </row>
    <row r="7" spans="1:47" ht="18" customHeight="1" thickTop="1" thickBot="1">
      <c r="A7" s="1567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V7" s="1573" t="s">
        <v>608</v>
      </c>
      <c r="W7" s="1573"/>
      <c r="X7" s="1573" t="s">
        <v>1078</v>
      </c>
      <c r="Y7" s="1573"/>
      <c r="Z7" s="1573"/>
      <c r="AA7" s="1573"/>
      <c r="AB7" s="1573" t="s">
        <v>733</v>
      </c>
      <c r="AC7" s="1573"/>
      <c r="AF7" s="1575"/>
      <c r="AG7" s="1576"/>
      <c r="AH7" s="1575"/>
      <c r="AI7" s="1576"/>
      <c r="AJ7" s="407"/>
      <c r="AK7" s="408"/>
    </row>
    <row r="8" spans="1:47" ht="18" customHeight="1" thickTop="1" thickBot="1">
      <c r="A8" s="1568"/>
      <c r="B8" s="1491" t="s">
        <v>346</v>
      </c>
      <c r="C8" s="1472"/>
      <c r="D8" s="1472"/>
      <c r="E8" s="1475"/>
      <c r="F8" s="2008" t="str">
        <f>'대기측정 분석결과서'!H13&amp;", "&amp;'대기측정 분석결과서'!L10&amp;" "&amp;"(KGAR-"&amp;RIGHT(YEAR('먼지측정 사전 Data'!N6),2)&amp;"-"&amp;'먼지측정 사전 Data'!O4&amp;")"</f>
        <v>,  (KGAR-26-)</v>
      </c>
      <c r="G8" s="2009"/>
      <c r="H8" s="2009"/>
      <c r="I8" s="2009"/>
      <c r="J8" s="2009"/>
      <c r="K8" s="2009"/>
      <c r="L8" s="2009"/>
      <c r="M8" s="2009"/>
      <c r="N8" s="2009"/>
      <c r="O8" s="2009"/>
      <c r="P8" s="2009"/>
      <c r="Q8" s="2009"/>
      <c r="R8" s="2009"/>
      <c r="S8" s="2009"/>
      <c r="T8" s="2010"/>
      <c r="V8" s="1573" t="s">
        <v>823</v>
      </c>
      <c r="W8" s="1573"/>
      <c r="X8" s="1573" t="s">
        <v>1068</v>
      </c>
      <c r="Y8" s="1573"/>
      <c r="Z8" s="1573"/>
      <c r="AA8" s="1573"/>
      <c r="AB8" s="1573" t="s">
        <v>1068</v>
      </c>
      <c r="AC8" s="1573"/>
      <c r="AF8" s="1577" t="s">
        <v>1073</v>
      </c>
      <c r="AG8" s="1578"/>
      <c r="AH8" s="1577" t="s">
        <v>822</v>
      </c>
      <c r="AI8" s="1578"/>
      <c r="AJ8" s="410" t="s">
        <v>1074</v>
      </c>
      <c r="AK8" s="411"/>
    </row>
    <row r="9" spans="1:47" ht="18" customHeight="1" thickTop="1" thickBot="1">
      <c r="A9" s="1568"/>
      <c r="B9" s="1490"/>
      <c r="C9" s="1477"/>
      <c r="D9" s="1477"/>
      <c r="E9" s="1478"/>
      <c r="F9" s="2011"/>
      <c r="G9" s="2012"/>
      <c r="H9" s="2012"/>
      <c r="I9" s="2012"/>
      <c r="J9" s="2012"/>
      <c r="K9" s="2012"/>
      <c r="L9" s="2012"/>
      <c r="M9" s="2012"/>
      <c r="N9" s="2012"/>
      <c r="O9" s="2012"/>
      <c r="P9" s="2012"/>
      <c r="Q9" s="2012"/>
      <c r="R9" s="2012"/>
      <c r="S9" s="2012"/>
      <c r="T9" s="2013"/>
      <c r="V9" s="1566"/>
      <c r="W9" s="1566"/>
      <c r="X9" s="1566"/>
      <c r="Y9" s="1566"/>
      <c r="Z9" s="1566"/>
      <c r="AA9" s="1566"/>
      <c r="AB9" s="1566"/>
      <c r="AC9" s="1566"/>
      <c r="AF9" s="1579"/>
      <c r="AG9" s="1580"/>
      <c r="AH9" s="1579"/>
      <c r="AI9" s="1580"/>
      <c r="AJ9" s="405"/>
    </row>
    <row r="10" spans="1:47" ht="24.75" customHeight="1" thickTop="1" thickBot="1">
      <c r="A10" s="1568"/>
      <c r="B10" s="1471" t="s">
        <v>347</v>
      </c>
      <c r="C10" s="1472"/>
      <c r="D10" s="1472"/>
      <c r="E10" s="1475"/>
      <c r="F10" s="1999" t="str">
        <f>'대기측정 분석결과서'!U11</f>
        <v>THC (총 1 항목)</v>
      </c>
      <c r="G10" s="2000"/>
      <c r="H10" s="2000"/>
      <c r="I10" s="2000"/>
      <c r="J10" s="2000"/>
      <c r="K10" s="2000"/>
      <c r="L10" s="2000"/>
      <c r="M10" s="2000"/>
      <c r="N10" s="2000"/>
      <c r="O10" s="2000"/>
      <c r="P10" s="2000"/>
      <c r="Q10" s="2000"/>
      <c r="R10" s="2000"/>
      <c r="S10" s="2000"/>
      <c r="T10" s="2001"/>
      <c r="V10" s="1566"/>
      <c r="W10" s="1566"/>
      <c r="X10" s="1566"/>
      <c r="Y10" s="1566"/>
      <c r="Z10" s="1566"/>
      <c r="AA10" s="1566"/>
      <c r="AB10" s="1566"/>
      <c r="AC10" s="1566"/>
      <c r="AF10" s="1581"/>
      <c r="AG10" s="1582"/>
      <c r="AH10" s="1581"/>
      <c r="AI10" s="1582"/>
      <c r="AJ10" s="406"/>
    </row>
    <row r="11" spans="1:47" ht="24.75" customHeight="1" thickTop="1">
      <c r="A11" s="1569"/>
      <c r="B11" s="1490"/>
      <c r="C11" s="1477"/>
      <c r="D11" s="1477"/>
      <c r="E11" s="1478"/>
      <c r="F11" s="2002"/>
      <c r="G11" s="2003"/>
      <c r="H11" s="2003"/>
      <c r="I11" s="2003"/>
      <c r="J11" s="2003"/>
      <c r="K11" s="2003"/>
      <c r="L11" s="2003"/>
      <c r="M11" s="2003"/>
      <c r="N11" s="2003"/>
      <c r="O11" s="2003"/>
      <c r="P11" s="2003"/>
      <c r="Q11" s="2003"/>
      <c r="R11" s="2003"/>
      <c r="S11" s="2003"/>
      <c r="T11" s="2004"/>
      <c r="V11" s="54" t="s">
        <v>1075</v>
      </c>
    </row>
    <row r="12" spans="1:47" ht="18" customHeight="1">
      <c r="A12" s="1488" t="s">
        <v>348</v>
      </c>
      <c r="B12" s="1473" t="s">
        <v>349</v>
      </c>
      <c r="C12" s="1473"/>
      <c r="D12" s="1473"/>
      <c r="E12" s="1473"/>
      <c r="F12" s="1473" t="s">
        <v>493</v>
      </c>
      <c r="G12" s="1473"/>
      <c r="H12" s="1473"/>
      <c r="I12" s="1473" t="s">
        <v>350</v>
      </c>
      <c r="J12" s="1473"/>
      <c r="K12" s="1473"/>
      <c r="L12" s="1458" t="s">
        <v>494</v>
      </c>
      <c r="M12" s="1459"/>
      <c r="N12" s="1460"/>
      <c r="O12" s="1458" t="s">
        <v>351</v>
      </c>
      <c r="P12" s="1459"/>
      <c r="Q12" s="1460"/>
      <c r="R12" s="1458" t="s">
        <v>495</v>
      </c>
      <c r="S12" s="1459"/>
      <c r="T12" s="1519"/>
      <c r="V12" s="54" t="s">
        <v>1080</v>
      </c>
    </row>
    <row r="13" spans="1:47" ht="18" customHeight="1">
      <c r="A13" s="1489"/>
      <c r="B13" s="1473"/>
      <c r="C13" s="1473"/>
      <c r="D13" s="1473"/>
      <c r="E13" s="1473"/>
      <c r="F13" s="1555">
        <f>'대기측정 분석결과서'!I17</f>
        <v>0</v>
      </c>
      <c r="G13" s="2026"/>
      <c r="H13" s="379" t="s">
        <v>333</v>
      </c>
      <c r="I13" s="1559">
        <f>'대기측정 분석결과서'!M17</f>
        <v>0</v>
      </c>
      <c r="J13" s="1560"/>
      <c r="K13" s="379" t="s">
        <v>462</v>
      </c>
      <c r="L13" s="1559">
        <f>'대기측정 분석결과서'!Q17</f>
        <v>0</v>
      </c>
      <c r="M13" s="1560"/>
      <c r="N13" s="380" t="s">
        <v>432</v>
      </c>
      <c r="O13" s="1559">
        <f>'대기측정 분석결과서'!V17</f>
        <v>0</v>
      </c>
      <c r="P13" s="1560"/>
      <c r="Q13" s="379" t="s">
        <v>334</v>
      </c>
      <c r="R13" s="1559">
        <f>'대기측정 분석결과서'!AA17</f>
        <v>0</v>
      </c>
      <c r="S13" s="1560"/>
      <c r="T13" s="381" t="s">
        <v>214</v>
      </c>
      <c r="V13" s="378" t="s">
        <v>772</v>
      </c>
    </row>
    <row r="14" spans="1:47" ht="18" customHeight="1">
      <c r="A14" s="1489"/>
      <c r="B14" s="1471" t="s">
        <v>461</v>
      </c>
      <c r="C14" s="1472"/>
      <c r="D14" s="1472"/>
      <c r="E14" s="1475"/>
      <c r="F14" s="1986" t="s">
        <v>961</v>
      </c>
      <c r="G14" s="1987"/>
      <c r="H14" s="1987"/>
      <c r="I14" s="1987"/>
      <c r="J14" s="1987"/>
      <c r="K14" s="1986" t="s">
        <v>954</v>
      </c>
      <c r="L14" s="1987"/>
      <c r="M14" s="1987"/>
      <c r="N14" s="1987"/>
      <c r="O14" s="1987"/>
      <c r="P14" s="2006"/>
      <c r="Q14" s="2027" t="s">
        <v>496</v>
      </c>
      <c r="R14" s="2028"/>
      <c r="S14" s="2028"/>
      <c r="T14" s="2029"/>
    </row>
    <row r="15" spans="1:47" ht="18" customHeight="1">
      <c r="A15" s="1489"/>
      <c r="B15" s="1570"/>
      <c r="C15" s="1571"/>
      <c r="D15" s="1571"/>
      <c r="E15" s="1572"/>
      <c r="F15" s="1559" t="e">
        <f>'시험일지(계산일지-2)'!Q21</f>
        <v>#DIV/0!</v>
      </c>
      <c r="G15" s="1560"/>
      <c r="H15" s="1560"/>
      <c r="I15" s="1560" t="s">
        <v>955</v>
      </c>
      <c r="J15" s="1561"/>
      <c r="K15" s="1986">
        <f>'먼지측정 사전 Data'!H14</f>
        <v>0</v>
      </c>
      <c r="L15" s="1987"/>
      <c r="M15" s="1987"/>
      <c r="N15" s="1987"/>
      <c r="O15" s="1987"/>
      <c r="P15" s="379" t="s">
        <v>462</v>
      </c>
      <c r="Q15" s="1986">
        <f>'대기측정 분석결과서'!E17</f>
        <v>0</v>
      </c>
      <c r="R15" s="1987"/>
      <c r="S15" s="1987"/>
      <c r="T15" s="2005"/>
      <c r="AQ15" s="519" t="s">
        <v>16</v>
      </c>
      <c r="AR15" s="1476" t="s">
        <v>899</v>
      </c>
      <c r="AS15" s="1476"/>
      <c r="AT15" s="1476"/>
      <c r="AU15" s="1476"/>
    </row>
    <row r="16" spans="1:47" ht="18" customHeight="1">
      <c r="A16" s="1489"/>
      <c r="B16" s="1570"/>
      <c r="C16" s="1571"/>
      <c r="D16" s="1571"/>
      <c r="E16" s="1572"/>
      <c r="F16" s="1559" t="s">
        <v>76</v>
      </c>
      <c r="G16" s="1560"/>
      <c r="H16" s="1560"/>
      <c r="I16" s="1561"/>
      <c r="J16" s="1559" t="s">
        <v>732</v>
      </c>
      <c r="K16" s="1560"/>
      <c r="L16" s="1560"/>
      <c r="M16" s="1561"/>
      <c r="N16" s="1559" t="s">
        <v>5</v>
      </c>
      <c r="O16" s="1560"/>
      <c r="P16" s="1561"/>
      <c r="Q16" s="1560" t="s">
        <v>497</v>
      </c>
      <c r="R16" s="1560"/>
      <c r="S16" s="1560"/>
      <c r="T16" s="1562"/>
    </row>
    <row r="17" spans="1:36" ht="18" customHeight="1">
      <c r="A17" s="1489"/>
      <c r="B17" s="1490"/>
      <c r="C17" s="1477"/>
      <c r="D17" s="1477"/>
      <c r="E17" s="1478"/>
      <c r="F17" s="1992" t="e">
        <f>'시험일지(계산일지-1)'!H18</f>
        <v>#DIV/0!</v>
      </c>
      <c r="G17" s="1993"/>
      <c r="H17" s="1993"/>
      <c r="I17" s="379" t="s">
        <v>214</v>
      </c>
      <c r="J17" s="1559" t="e">
        <f>'먼지측정 사전 Data'!R69</f>
        <v>#DIV/0!</v>
      </c>
      <c r="K17" s="1560"/>
      <c r="L17" s="1560"/>
      <c r="M17" s="382" t="s">
        <v>39</v>
      </c>
      <c r="N17" s="1994" t="e">
        <f>IF('먼지측정 사전 Data'!Q60=0,'시험일지(계산일지-1)'!F11,'시험일지(계산일지-1 포화)'!F11)</f>
        <v>#DIV/0!</v>
      </c>
      <c r="O17" s="1995"/>
      <c r="P17" s="379" t="s">
        <v>41</v>
      </c>
      <c r="Q17" s="2007" t="e">
        <f>'한종_시료채취기록지 (사용X)'!E8</f>
        <v>#VALUE!</v>
      </c>
      <c r="R17" s="2007"/>
      <c r="S17" s="2007"/>
      <c r="T17" s="381" t="s">
        <v>498</v>
      </c>
    </row>
    <row r="18" spans="1:36" ht="18" customHeight="1">
      <c r="A18" s="1489"/>
      <c r="B18" s="1473" t="s">
        <v>499</v>
      </c>
      <c r="C18" s="1473"/>
      <c r="D18" s="1473"/>
      <c r="E18" s="1473"/>
      <c r="F18" s="1500" t="s">
        <v>962</v>
      </c>
      <c r="G18" s="1501"/>
      <c r="H18" s="1501"/>
      <c r="I18" s="1501"/>
      <c r="J18" s="1988" t="e">
        <f>ROUND('시험일지(계산일지-2)'!I11/60,1)</f>
        <v>#DIV/0!</v>
      </c>
      <c r="K18" s="1988"/>
      <c r="L18" s="1988"/>
      <c r="M18" s="1988"/>
      <c r="N18" s="1988"/>
      <c r="O18" s="1988"/>
      <c r="P18" s="1988"/>
      <c r="Q18" s="1988"/>
      <c r="R18" s="1988"/>
      <c r="S18" s="1988"/>
      <c r="T18" s="1989"/>
      <c r="AG18" s="378" t="s">
        <v>776</v>
      </c>
    </row>
    <row r="19" spans="1:36" ht="18" customHeight="1">
      <c r="A19" s="1489"/>
      <c r="B19" s="1458" t="s">
        <v>463</v>
      </c>
      <c r="C19" s="1459"/>
      <c r="D19" s="1459"/>
      <c r="E19" s="1460"/>
      <c r="F19" s="383"/>
      <c r="G19" s="1521">
        <f>'먼지측정 사전 Data'!N5</f>
        <v>0</v>
      </c>
      <c r="H19" s="1521"/>
      <c r="I19" s="1521"/>
      <c r="J19" s="1521"/>
      <c r="K19" s="384"/>
      <c r="L19" s="1458" t="s">
        <v>352</v>
      </c>
      <c r="M19" s="1459"/>
      <c r="N19" s="1460"/>
      <c r="O19" s="1465">
        <f>'대기측정 분석결과서'!U7</f>
        <v>0</v>
      </c>
      <c r="P19" s="1466"/>
      <c r="Q19" s="385" t="s">
        <v>777</v>
      </c>
      <c r="R19" s="1990" t="str">
        <f>'대기측정 분석결과서'!X7&amp;"   (인)"</f>
        <v>0   (인)</v>
      </c>
      <c r="S19" s="1990"/>
      <c r="T19" s="1991"/>
      <c r="AG19" s="2038" t="s">
        <v>774</v>
      </c>
      <c r="AH19" s="2038"/>
      <c r="AI19" s="2038"/>
      <c r="AJ19" s="2039"/>
    </row>
    <row r="20" spans="1:36" ht="14.1" customHeight="1">
      <c r="A20" s="1567" t="s">
        <v>501</v>
      </c>
      <c r="B20" s="1473" t="s">
        <v>353</v>
      </c>
      <c r="C20" s="1473"/>
      <c r="D20" s="1473"/>
      <c r="E20" s="1473"/>
      <c r="F20" s="1473" t="s">
        <v>502</v>
      </c>
      <c r="G20" s="1473"/>
      <c r="H20" s="1473"/>
      <c r="I20" s="1473" t="s">
        <v>354</v>
      </c>
      <c r="J20" s="1473"/>
      <c r="K20" s="1473"/>
      <c r="L20" s="2020" t="s">
        <v>503</v>
      </c>
      <c r="M20" s="2021"/>
      <c r="N20" s="2021"/>
      <c r="O20" s="1497" t="s">
        <v>504</v>
      </c>
      <c r="P20" s="1498"/>
      <c r="Q20" s="1498"/>
      <c r="R20" s="1499"/>
      <c r="S20" s="1531" t="s">
        <v>355</v>
      </c>
      <c r="T20" s="1516"/>
    </row>
    <row r="21" spans="1:36" ht="14.1" customHeight="1">
      <c r="A21" s="1568"/>
      <c r="B21" s="1473"/>
      <c r="C21" s="1473"/>
      <c r="D21" s="1473"/>
      <c r="E21" s="1473"/>
      <c r="F21" s="1473"/>
      <c r="G21" s="1473"/>
      <c r="H21" s="1473"/>
      <c r="I21" s="1473"/>
      <c r="J21" s="1473"/>
      <c r="K21" s="1473"/>
      <c r="L21" s="2022"/>
      <c r="M21" s="2023"/>
      <c r="N21" s="2023"/>
      <c r="O21" s="1497"/>
      <c r="P21" s="1498"/>
      <c r="Q21" s="1498"/>
      <c r="R21" s="1499"/>
      <c r="S21" s="1533"/>
      <c r="T21" s="1518"/>
      <c r="Z21" s="386"/>
    </row>
    <row r="22" spans="1:36" ht="21.95" customHeight="1">
      <c r="A22" s="1568"/>
      <c r="B22" s="1996" t="s">
        <v>940</v>
      </c>
      <c r="C22" s="1469"/>
      <c r="D22" s="1469"/>
      <c r="E22" s="1470"/>
      <c r="F22" s="1997">
        <v>4</v>
      </c>
      <c r="G22" s="1998"/>
      <c r="H22" s="527" t="str">
        <f>IF(B22="","",INDEX('대기측정 분석결과서'!$AH$23:$AH$72,MATCH(B22,측정항목,0)))</f>
        <v>ppm</v>
      </c>
      <c r="I22" s="1976" t="str">
        <f>IF(B22="","",IF(INDEX('대기측정 분석결과서'!$F$23:$I$72,MATCH(B22,측정항목,0),1)="","값없음",IF(ISERROR(FIXED(IF(INDEX('대기측정 분석결과서'!$F$23:$I$72,MATCH(B22,측정항목,0),1)&lt;INDEX('대기측정 분석결과서'!$AG$23:$AG$72,MATCH(B22,측정항목,0),1),"불검출",INDEX('대기측정 분석결과서'!$F$23:$I$72,MATCH(B22,측정항목,0),1)),INDEX('대기측정 분석결과서'!$AI$23:$AI$72,MATCH(B22,측정항목,0)))),"불검출",FIXED(INDEX('대기측정 분석결과서'!$F$23:$I$72,MATCH(B22,측정항목,0),1),INDEX('대기측정 분석결과서'!$AI$23:$AI$72,MATCH(B22,항목,0))))))</f>
        <v>값없음</v>
      </c>
      <c r="J22" s="1977"/>
      <c r="K22" s="1978"/>
      <c r="L22" s="1979"/>
      <c r="M22" s="1980"/>
      <c r="N22" s="1981"/>
      <c r="O22" s="1471" t="str">
        <f>IF(B22="","",INDEX('대기측정 분석결과서'!$Z$23:$Z$72,MATCH(B22,측정항목,0)))</f>
        <v>ES 01305.2d</v>
      </c>
      <c r="P22" s="1472"/>
      <c r="Q22" s="1472"/>
      <c r="R22" s="1475"/>
      <c r="S22" s="1984" t="str">
        <f>IF(B22="","",INDEX('대기측정 분석결과서'!$M$23:$M$72,MATCH(B22,항목,0)))</f>
        <v xml:space="preserve">자외선가시선분광법-싸이오사이안산제이수은법 </v>
      </c>
      <c r="T22" s="1985"/>
    </row>
    <row r="23" spans="1:36" ht="21.95" customHeight="1">
      <c r="A23" s="1568"/>
      <c r="B23" s="1996" t="s">
        <v>941</v>
      </c>
      <c r="C23" s="1469"/>
      <c r="D23" s="1469"/>
      <c r="E23" s="1470"/>
      <c r="F23" s="1997">
        <v>2</v>
      </c>
      <c r="G23" s="1998"/>
      <c r="H23" s="527" t="str">
        <f>IF(B23="","",INDEX('대기측정 분석결과서'!$AH$23:$AH$72,MATCH(B23,측정항목,0)))</f>
        <v>ppm</v>
      </c>
      <c r="I23" s="1976" t="str">
        <f>IF(B23="","",IF(INDEX('대기측정 분석결과서'!$F$23:$I$72,MATCH(B23,측정항목,0),1)="","값없음",IF(ISERROR(FIXED(IF(INDEX('대기측정 분석결과서'!$F$23:$I$72,MATCH(B23,측정항목,0),1)&lt;INDEX('대기측정 분석결과서'!$AG$23:$AG$72,MATCH(B23,측정항목,0),1),"불검출",INDEX('대기측정 분석결과서'!$F$23:$I$72,MATCH(B23,측정항목,0),1)),INDEX('대기측정 분석결과서'!$AI$23:$AI$72,MATCH(B23,측정항목,0)))),"불검출",FIXED(INDEX('대기측정 분석결과서'!$F$23:$I$72,MATCH(B23,측정항목,0),1),INDEX('대기측정 분석결과서'!$AI$23:$AI$72,MATCH(B23,항목,0))))))</f>
        <v>값없음</v>
      </c>
      <c r="J23" s="1977"/>
      <c r="K23" s="1978"/>
      <c r="L23" s="1979"/>
      <c r="M23" s="1980"/>
      <c r="N23" s="1981"/>
      <c r="O23" s="1471" t="str">
        <f>IF(B23="","",INDEX('대기측정 분석결과서'!$Z$23:$Z$72,MATCH(B23,측정항목,0)))</f>
        <v>ES 01401.3e</v>
      </c>
      <c r="P23" s="1472"/>
      <c r="Q23" s="1472"/>
      <c r="R23" s="1475"/>
      <c r="S23" s="1984" t="str">
        <f>IF(B23="","",INDEX('대기측정 분석결과서'!$M$23:$M$72,MATCH(B23,항목,0)))</f>
        <v>유도결합플라스마 분광법</v>
      </c>
      <c r="T23" s="1985"/>
    </row>
    <row r="24" spans="1:36" ht="21.95" customHeight="1">
      <c r="A24" s="1568"/>
      <c r="B24" s="1996" t="s">
        <v>960</v>
      </c>
      <c r="C24" s="1469"/>
      <c r="D24" s="1469"/>
      <c r="E24" s="1470"/>
      <c r="F24" s="1997" t="str">
        <f t="shared" ref="F24" si="0">IF(B24="","","??")</f>
        <v>??</v>
      </c>
      <c r="G24" s="1998"/>
      <c r="H24" s="527" t="str">
        <f>IF(B24="","",INDEX('대기측정 분석결과서'!$AH$23:$AH$72,MATCH(B24,측정항목,0)))</f>
        <v>ppm</v>
      </c>
      <c r="I24" s="1976" t="str">
        <f>IF(B24="","",IF(INDEX('대기측정 분석결과서'!$F$23:$I$72,MATCH(B24,측정항목,0),1)="","값없음",IF(ISERROR(FIXED(IF(INDEX('대기측정 분석결과서'!$F$23:$I$72,MATCH(B24,측정항목,0),1)&lt;INDEX('대기측정 분석결과서'!$AG$23:$AG$72,MATCH(B24,측정항목,0),1),"불검출",INDEX('대기측정 분석결과서'!$F$23:$I$72,MATCH(B24,측정항목,0),1)),INDEX('대기측정 분석결과서'!$AI$23:$AI$72,MATCH(B24,측정항목,0)))),"불검출",FIXED(INDEX('대기측정 분석결과서'!$F$23:$I$72,MATCH(B24,측정항목,0),1),INDEX('대기측정 분석결과서'!$AI$23:$AI$72,MATCH(B24,항목,0))))))</f>
        <v>값없음</v>
      </c>
      <c r="J24" s="1977"/>
      <c r="K24" s="1978"/>
      <c r="L24" s="1979"/>
      <c r="M24" s="1980"/>
      <c r="N24" s="1981"/>
      <c r="O24" s="1471" t="str">
        <f>IF(B24="","",INDEX('대기측정 분석결과서'!$Z$23:$Z$72,MATCH(B24,측정항목,0)))</f>
        <v>ES 01312.1e</v>
      </c>
      <c r="P24" s="1472"/>
      <c r="Q24" s="1472"/>
      <c r="R24" s="1475"/>
      <c r="S24" s="1984" t="str">
        <f>IF(B24="","",INDEX('대기측정 분석결과서'!$M$23:$M$72,MATCH(B24,항목,0)))</f>
        <v>자외선/가시선분광법- 4-피리딘카복실산-피라졸론법</v>
      </c>
      <c r="T24" s="1985"/>
    </row>
    <row r="25" spans="1:36" ht="21.95" customHeight="1">
      <c r="A25" s="1568"/>
      <c r="B25" s="1996"/>
      <c r="C25" s="1469"/>
      <c r="D25" s="1469"/>
      <c r="E25" s="1470"/>
      <c r="F25" s="1997" t="str">
        <f t="shared" ref="F25" si="1">IF(B25="","","??")</f>
        <v/>
      </c>
      <c r="G25" s="1998"/>
      <c r="H25" s="527" t="str">
        <f>IF(B25="","",INDEX('대기측정 분석결과서'!$AH$23:$AH$72,MATCH(B25,측정항목,0)))</f>
        <v/>
      </c>
      <c r="I25" s="1976" t="str">
        <f>IF(B25="","",IF(INDEX('대기측정 분석결과서'!$F$23:$I$72,MATCH(B25,측정항목,0),1)="","값없음",IF(ISERROR(FIXED(IF(INDEX('대기측정 분석결과서'!$F$23:$I$72,MATCH(B25,측정항목,0),1)&lt;INDEX('대기측정 분석결과서'!$AG$23:$AG$72,MATCH(B25,측정항목,0),1),"불검출",INDEX('대기측정 분석결과서'!$F$23:$I$72,MATCH(B25,측정항목,0),1)),INDEX('대기측정 분석결과서'!$AI$23:$AI$72,MATCH(B25,측정항목,0)))),"불검출",FIXED(INDEX('대기측정 분석결과서'!$F$23:$I$72,MATCH(B25,측정항목,0),1),INDEX('대기측정 분석결과서'!$AI$23:$AI$72,MATCH(B25,항목,0))))))</f>
        <v/>
      </c>
      <c r="J25" s="1977"/>
      <c r="K25" s="1978"/>
      <c r="L25" s="1979"/>
      <c r="M25" s="1980"/>
      <c r="N25" s="1981"/>
      <c r="O25" s="1471" t="str">
        <f>IF(B25="","",INDEX('대기측정 분석결과서'!$Z$23:$Z$72,MATCH(B25,측정항목,0)))</f>
        <v/>
      </c>
      <c r="P25" s="1472"/>
      <c r="Q25" s="1472"/>
      <c r="R25" s="1475"/>
      <c r="S25" s="1984" t="str">
        <f>IF(B25="","",INDEX('대기측정 분석결과서'!$M$23:$M$72,MATCH(B25,항목,0)))</f>
        <v/>
      </c>
      <c r="T25" s="1985"/>
    </row>
    <row r="26" spans="1:36" ht="21.95" customHeight="1">
      <c r="A26" s="1568"/>
      <c r="B26" s="1996"/>
      <c r="C26" s="1469"/>
      <c r="D26" s="1469"/>
      <c r="E26" s="1470"/>
      <c r="F26" s="1997" t="str">
        <f>IF(B26="","","??")</f>
        <v/>
      </c>
      <c r="G26" s="1998"/>
      <c r="H26" s="527" t="str">
        <f>IF(B26="","",INDEX('대기측정 분석결과서'!$AH$23:$AH$72,MATCH(B26,측정항목,0)))</f>
        <v/>
      </c>
      <c r="I26" s="1976" t="str">
        <f>IF(B26="","",IF(INDEX('대기측정 분석결과서'!$F$23:$I$72,MATCH(B26,측정항목,0),1)="","값없음",IF(ISERROR(FIXED(IF(INDEX('대기측정 분석결과서'!$F$23:$I$72,MATCH(B26,측정항목,0),1)&lt;INDEX('대기측정 분석결과서'!$AG$23:$AG$72,MATCH(B26,측정항목,0),1),"불검출",INDEX('대기측정 분석결과서'!$F$23:$I$72,MATCH(B26,측정항목,0),1)),INDEX('대기측정 분석결과서'!$AI$23:$AI$72,MATCH(B26,측정항목,0)))),"불검출",FIXED(INDEX('대기측정 분석결과서'!$F$23:$I$72,MATCH(B26,측정항목,0),1),INDEX('대기측정 분석결과서'!$AI$23:$AI$72,MATCH(B26,항목,0))))))</f>
        <v/>
      </c>
      <c r="J26" s="1977"/>
      <c r="K26" s="1978"/>
      <c r="L26" s="1979"/>
      <c r="M26" s="1980"/>
      <c r="N26" s="1981"/>
      <c r="O26" s="1471" t="str">
        <f>IF(B26="","",INDEX('대기측정 분석결과서'!$Z$23:$Z$72,MATCH(B26,측정항목,0)))</f>
        <v/>
      </c>
      <c r="P26" s="1472"/>
      <c r="Q26" s="1472"/>
      <c r="R26" s="1475"/>
      <c r="S26" s="1984" t="str">
        <f>IF(B26="","",INDEX('대기측정 분석결과서'!$M$23:$M$72,MATCH(B26,항목,0)))</f>
        <v/>
      </c>
      <c r="T26" s="1985"/>
    </row>
    <row r="27" spans="1:36" ht="21.95" customHeight="1">
      <c r="A27" s="1568"/>
      <c r="B27" s="1996"/>
      <c r="C27" s="1469"/>
      <c r="D27" s="1469"/>
      <c r="E27" s="1470"/>
      <c r="F27" s="1997" t="str">
        <f>IF(B27="","","??")</f>
        <v/>
      </c>
      <c r="G27" s="1998"/>
      <c r="H27" s="527" t="str">
        <f>IF(B27="","",INDEX('대기측정 분석결과서'!$AH$23:$AH$72,MATCH(B27,측정항목,0)))</f>
        <v/>
      </c>
      <c r="I27" s="1976" t="str">
        <f>IF(B27="","",IF(INDEX('대기측정 분석결과서'!$F$23:$I$72,MATCH(B27,측정항목,0),1)="","값없음",IF(ISERROR(FIXED(IF(INDEX('대기측정 분석결과서'!$F$23:$I$72,MATCH(B27,측정항목,0),1)&lt;INDEX('대기측정 분석결과서'!$AG$23:$AG$72,MATCH(B27,측정항목,0),1),"불검출",INDEX('대기측정 분석결과서'!$F$23:$I$72,MATCH(B27,측정항목,0),1)),INDEX('대기측정 분석결과서'!$AI$23:$AI$72,MATCH(B27,측정항목,0)))),"불검출",FIXED(INDEX('대기측정 분석결과서'!$F$23:$I$72,MATCH(B27,측정항목,0),1),INDEX('대기측정 분석결과서'!$AI$23:$AI$72,MATCH(B27,항목,0))))))</f>
        <v/>
      </c>
      <c r="J27" s="1977"/>
      <c r="K27" s="1978"/>
      <c r="L27" s="1979"/>
      <c r="M27" s="1980"/>
      <c r="N27" s="1981"/>
      <c r="O27" s="1471" t="str">
        <f>IF(B27="","",INDEX('대기측정 분석결과서'!$Z$23:$Z$72,MATCH(B27,측정항목,0)))</f>
        <v/>
      </c>
      <c r="P27" s="1472"/>
      <c r="Q27" s="1472"/>
      <c r="R27" s="1475"/>
      <c r="S27" s="1984" t="str">
        <f>IF(B27="","",INDEX('대기측정 분석결과서'!$M$23:$M$72,MATCH(B27,항목,0)))</f>
        <v/>
      </c>
      <c r="T27" s="1985"/>
    </row>
    <row r="28" spans="1:36" ht="21.95" customHeight="1">
      <c r="A28" s="1568"/>
      <c r="B28" s="1996"/>
      <c r="C28" s="1469"/>
      <c r="D28" s="1469"/>
      <c r="E28" s="1470"/>
      <c r="F28" s="1997" t="str">
        <f>IF(B28="","","??")</f>
        <v/>
      </c>
      <c r="G28" s="1998"/>
      <c r="H28" s="527" t="str">
        <f>IF(B28="","",INDEX('대기측정 분석결과서'!$AH$23:$AH$72,MATCH(B28,측정항목,0)))</f>
        <v/>
      </c>
      <c r="I28" s="1976" t="str">
        <f>IF(B28="","",IF(INDEX('대기측정 분석결과서'!$F$23:$I$72,MATCH(B28,측정항목,0),1)="","값없음",IF(ISERROR(FIXED(IF(INDEX('대기측정 분석결과서'!$F$23:$I$72,MATCH(B28,측정항목,0),1)&lt;INDEX('대기측정 분석결과서'!$AG$23:$AG$72,MATCH(B28,측정항목,0),1),"불검출",INDEX('대기측정 분석결과서'!$F$23:$I$72,MATCH(B28,측정항목,0),1)),INDEX('대기측정 분석결과서'!$AI$23:$AI$72,MATCH(B28,측정항목,0)))),"불검출",FIXED(INDEX('대기측정 분석결과서'!$F$23:$I$72,MATCH(B28,측정항목,0),1),INDEX('대기측정 분석결과서'!$AI$23:$AI$72,MATCH(B28,항목,0))))))</f>
        <v/>
      </c>
      <c r="J28" s="1977"/>
      <c r="K28" s="1978"/>
      <c r="L28" s="1979"/>
      <c r="M28" s="1980"/>
      <c r="N28" s="1981"/>
      <c r="O28" s="1471" t="str">
        <f>IF(B28="","",INDEX('대기측정 분석결과서'!$Z$23:$Z$72,MATCH(B28,측정항목,0)))</f>
        <v/>
      </c>
      <c r="P28" s="1472"/>
      <c r="Q28" s="1472"/>
      <c r="R28" s="1475"/>
      <c r="S28" s="1984" t="str">
        <f>IF(B28="","",INDEX('대기측정 분석결과서'!$M$23:$M$72,MATCH(B28,항목,0)))</f>
        <v/>
      </c>
      <c r="T28" s="1985"/>
    </row>
    <row r="29" spans="1:36" ht="21.95" customHeight="1">
      <c r="A29" s="1568"/>
      <c r="B29" s="1996"/>
      <c r="C29" s="1469"/>
      <c r="D29" s="1469"/>
      <c r="E29" s="1470"/>
      <c r="F29" s="1997" t="str">
        <f>IF(B29="","","??")</f>
        <v/>
      </c>
      <c r="G29" s="1998"/>
      <c r="H29" s="527" t="str">
        <f>IF(B29="","",INDEX('대기측정 분석결과서'!$AH$23:$AH$72,MATCH(B29,측정항목,0)))</f>
        <v/>
      </c>
      <c r="I29" s="1976" t="str">
        <f>IF(B29="","",IF(INDEX('대기측정 분석결과서'!$F$23:$I$72,MATCH(B29,측정항목,0),1)="","값없음",IF(ISERROR(FIXED(IF(INDEX('대기측정 분석결과서'!$F$23:$I$72,MATCH(B29,측정항목,0),1)&lt;INDEX('대기측정 분석결과서'!$AG$23:$AG$72,MATCH(B29,측정항목,0),1),"불검출",INDEX('대기측정 분석결과서'!$F$23:$I$72,MATCH(B29,측정항목,0),1)),INDEX('대기측정 분석결과서'!$AI$23:$AI$72,MATCH(B29,측정항목,0)))),"불검출",FIXED(INDEX('대기측정 분석결과서'!$F$23:$I$72,MATCH(B29,측정항목,0),1),INDEX('대기측정 분석결과서'!$AI$23:$AI$72,MATCH(B29,항목,0))))))</f>
        <v/>
      </c>
      <c r="J29" s="1977"/>
      <c r="K29" s="1978"/>
      <c r="L29" s="1979"/>
      <c r="M29" s="1980"/>
      <c r="N29" s="1981"/>
      <c r="O29" s="1471" t="str">
        <f>IF(B29="","",INDEX('대기측정 분석결과서'!$Z$23:$Z$72,MATCH(B29,측정항목,0)))</f>
        <v/>
      </c>
      <c r="P29" s="1472"/>
      <c r="Q29" s="1472"/>
      <c r="R29" s="1475"/>
      <c r="S29" s="1984" t="str">
        <f>IF(B29="","",INDEX('대기측정 분석결과서'!$M$23:$M$72,MATCH(B29,항목,0)))</f>
        <v/>
      </c>
      <c r="T29" s="1985"/>
    </row>
    <row r="30" spans="1:36" ht="19.5" customHeight="1">
      <c r="A30" s="1569"/>
      <c r="B30" s="1458" t="s">
        <v>506</v>
      </c>
      <c r="C30" s="1459"/>
      <c r="D30" s="1459"/>
      <c r="E30" s="1460"/>
      <c r="F30" s="2016" t="str">
        <f>'대기측정 분석결과서'!U8</f>
        <v>2026-02-06 ~ 1900-01-00</v>
      </c>
      <c r="G30" s="2017"/>
      <c r="H30" s="2017"/>
      <c r="I30" s="2017"/>
      <c r="J30" s="2017"/>
      <c r="K30" s="2018"/>
      <c r="L30" s="1458" t="s">
        <v>507</v>
      </c>
      <c r="M30" s="1459"/>
      <c r="N30" s="1460"/>
      <c r="O30" s="1458" t="str">
        <f>'대기측정 분석결과서'!U9</f>
        <v>이 나 영</v>
      </c>
      <c r="P30" s="1459"/>
      <c r="Q30" s="1459"/>
      <c r="R30" s="1459"/>
      <c r="S30" s="1459"/>
      <c r="T30" s="387" t="s">
        <v>500</v>
      </c>
    </row>
    <row r="31" spans="1:36" ht="21.6" customHeight="1">
      <c r="A31" s="1461" t="s">
        <v>508</v>
      </c>
      <c r="B31" s="1462"/>
      <c r="C31" s="1462"/>
      <c r="D31" s="1462"/>
      <c r="E31" s="1463"/>
      <c r="F31" s="388"/>
      <c r="G31" s="389"/>
      <c r="H31" s="650" t="s">
        <v>1140</v>
      </c>
      <c r="I31" s="389"/>
      <c r="J31" s="389"/>
      <c r="K31" s="389"/>
      <c r="L31" s="389"/>
      <c r="M31" s="2019" t="s">
        <v>595</v>
      </c>
      <c r="N31" s="2019"/>
      <c r="O31" s="2019"/>
      <c r="P31" s="2019"/>
      <c r="Q31" s="649" t="s">
        <v>1139</v>
      </c>
      <c r="R31" s="390"/>
      <c r="S31" s="389"/>
      <c r="T31" s="391"/>
    </row>
    <row r="32" spans="1:36" ht="10.5" customHeight="1">
      <c r="A32" s="392"/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4"/>
    </row>
    <row r="33" spans="1:132" ht="20.25" customHeight="1">
      <c r="A33" s="1449" t="s">
        <v>509</v>
      </c>
      <c r="B33" s="1450"/>
      <c r="C33" s="1450"/>
      <c r="D33" s="1450"/>
      <c r="E33" s="1450"/>
      <c r="F33" s="1450"/>
      <c r="G33" s="1450"/>
      <c r="H33" s="1450"/>
      <c r="I33" s="1450"/>
      <c r="J33" s="1450"/>
      <c r="K33" s="1450"/>
      <c r="L33" s="1450"/>
      <c r="M33" s="1450"/>
      <c r="N33" s="1450"/>
      <c r="O33" s="1450"/>
      <c r="P33" s="1450"/>
      <c r="Q33" s="1450"/>
      <c r="R33" s="395"/>
      <c r="S33" s="395"/>
      <c r="T33" s="396"/>
    </row>
    <row r="34" spans="1:132" ht="15" customHeight="1">
      <c r="A34" s="397"/>
      <c r="K34" s="1455">
        <f>YEAR('먼지측정 사전 Data'!R6)</f>
        <v>2026</v>
      </c>
      <c r="L34" s="1455"/>
      <c r="M34" s="398" t="s">
        <v>464</v>
      </c>
      <c r="N34" s="398"/>
      <c r="O34" s="399">
        <f>MONTH('먼지측정 사전 Data'!R6)</f>
        <v>2</v>
      </c>
      <c r="P34" s="398" t="s">
        <v>510</v>
      </c>
      <c r="Q34" s="398"/>
      <c r="R34" s="399">
        <f>DAY('먼지측정 사전 Data'!R6)</f>
        <v>13</v>
      </c>
      <c r="S34" s="398" t="s">
        <v>511</v>
      </c>
      <c r="T34" s="400"/>
    </row>
    <row r="35" spans="1:132" ht="15.75" customHeight="1">
      <c r="A35" s="397"/>
      <c r="C35" s="1476" t="s">
        <v>942</v>
      </c>
      <c r="D35" s="1476"/>
      <c r="E35" s="1476"/>
      <c r="F35" s="1476"/>
      <c r="G35" s="1536" t="s">
        <v>967</v>
      </c>
      <c r="H35" s="1536"/>
      <c r="I35" s="1536"/>
      <c r="J35" s="1536"/>
      <c r="K35" s="1536"/>
      <c r="L35" s="1536"/>
      <c r="M35" s="1536"/>
      <c r="N35" s="1536"/>
      <c r="O35" s="1536"/>
      <c r="P35" s="1536"/>
      <c r="Q35"/>
      <c r="R35"/>
      <c r="S35"/>
      <c r="T35" s="400"/>
      <c r="X35" s="1585"/>
      <c r="Y35" s="1585"/>
      <c r="Z35" s="1585"/>
      <c r="AA35" s="1586"/>
      <c r="AB35" s="1585"/>
      <c r="AC35" s="1585"/>
    </row>
    <row r="36" spans="1:132" ht="15.75" customHeight="1">
      <c r="A36" s="397"/>
      <c r="C36" s="1476" t="s">
        <v>943</v>
      </c>
      <c r="D36" s="1476"/>
      <c r="E36" s="1476"/>
      <c r="F36" s="1476"/>
      <c r="G36" s="1983" t="s">
        <v>1065</v>
      </c>
      <c r="H36" s="1983"/>
      <c r="I36" s="1983"/>
      <c r="J36" s="1983"/>
      <c r="K36" s="1983"/>
      <c r="L36" s="1983"/>
      <c r="M36" s="1983"/>
      <c r="N36" s="1983"/>
      <c r="O36" s="1983"/>
      <c r="P36" s="1983"/>
      <c r="Q36"/>
      <c r="R36"/>
      <c r="S36"/>
      <c r="T36" s="400"/>
      <c r="X36" s="2036" t="s">
        <v>779</v>
      </c>
      <c r="Y36" s="2036"/>
      <c r="Z36" s="2036"/>
      <c r="AA36" s="2037"/>
      <c r="AB36" s="2036"/>
      <c r="AC36" s="2036"/>
    </row>
    <row r="37" spans="1:132" ht="15.75" customHeight="1">
      <c r="A37" s="397"/>
      <c r="C37" s="1476" t="s">
        <v>944</v>
      </c>
      <c r="D37" s="1476"/>
      <c r="E37" s="1476"/>
      <c r="F37" s="1476"/>
      <c r="G37" s="1536" t="s">
        <v>968</v>
      </c>
      <c r="H37" s="1536"/>
      <c r="I37" s="1536"/>
      <c r="J37" s="1536"/>
      <c r="K37" s="1536"/>
      <c r="L37" s="1536"/>
      <c r="M37" s="1536"/>
      <c r="N37" s="1536"/>
      <c r="O37" s="1536"/>
      <c r="P37" s="1536"/>
      <c r="Q37" s="1982" t="s">
        <v>969</v>
      </c>
      <c r="R37" s="1982"/>
      <c r="S37" s="1982"/>
      <c r="T37" s="400"/>
    </row>
    <row r="38" spans="1:132" s="524" customFormat="1" ht="12" customHeight="1">
      <c r="A38" s="2024" t="s">
        <v>945</v>
      </c>
      <c r="B38" s="2025"/>
      <c r="C38" s="2025"/>
      <c r="D38" s="2025"/>
      <c r="E38" s="2025"/>
      <c r="F38" s="2025"/>
      <c r="G38" s="2025"/>
      <c r="H38" s="2025"/>
      <c r="I38" s="2025"/>
      <c r="J38" s="2025"/>
      <c r="K38" s="2025"/>
      <c r="L38" s="2025"/>
      <c r="M38" s="2025"/>
      <c r="N38" s="2025"/>
      <c r="O38" s="2025"/>
      <c r="P38" s="2025"/>
      <c r="Q38" s="146"/>
      <c r="R38" s="146"/>
      <c r="S38" s="146"/>
      <c r="T38" s="541"/>
      <c r="U38" s="525"/>
      <c r="V38" s="525"/>
      <c r="W38" s="525"/>
      <c r="X38" s="526"/>
    </row>
    <row r="39" spans="1:132" s="524" customFormat="1" ht="12.75" customHeight="1" thickBot="1">
      <c r="A39" s="1452" t="s">
        <v>1063</v>
      </c>
      <c r="B39" s="1453"/>
      <c r="C39" s="1453"/>
      <c r="D39" s="1453"/>
      <c r="E39" s="1453"/>
      <c r="F39" s="1453"/>
      <c r="G39" s="1453"/>
      <c r="H39" s="1453"/>
      <c r="I39" s="1453"/>
      <c r="J39" s="1453"/>
      <c r="K39" s="1453"/>
      <c r="L39" s="1453"/>
      <c r="M39" s="1453"/>
      <c r="N39" s="1453"/>
      <c r="O39" s="1453"/>
      <c r="P39" s="1453"/>
      <c r="Q39" s="1453"/>
      <c r="R39" s="1453"/>
      <c r="S39" s="1453"/>
      <c r="T39" s="1454"/>
    </row>
    <row r="40" spans="1:132" ht="20.25" customHeight="1">
      <c r="J40" s="2014"/>
      <c r="K40" s="2015"/>
      <c r="L40" s="2015"/>
    </row>
    <row r="45" spans="1:132">
      <c r="EA45" s="520" t="s">
        <v>43</v>
      </c>
      <c r="EB45" s="521" t="s">
        <v>914</v>
      </c>
    </row>
    <row r="46" spans="1:132">
      <c r="EA46" s="520" t="s">
        <v>900</v>
      </c>
      <c r="EB46" s="521" t="s">
        <v>915</v>
      </c>
    </row>
    <row r="47" spans="1:132">
      <c r="EA47" s="520" t="s">
        <v>901</v>
      </c>
      <c r="EB47" s="521" t="s">
        <v>916</v>
      </c>
    </row>
    <row r="48" spans="1:132">
      <c r="EA48" s="520" t="s">
        <v>902</v>
      </c>
      <c r="EB48" s="521" t="s">
        <v>917</v>
      </c>
    </row>
    <row r="49" spans="131:132">
      <c r="EA49" s="520" t="s">
        <v>903</v>
      </c>
      <c r="EB49" s="521" t="s">
        <v>918</v>
      </c>
    </row>
    <row r="50" spans="131:132">
      <c r="EA50" s="520" t="s">
        <v>904</v>
      </c>
      <c r="EB50" s="521" t="s">
        <v>919</v>
      </c>
    </row>
    <row r="51" spans="131:132">
      <c r="EA51" s="520" t="s">
        <v>905</v>
      </c>
      <c r="EB51" s="521" t="s">
        <v>920</v>
      </c>
    </row>
    <row r="52" spans="131:132">
      <c r="EA52" s="520" t="s">
        <v>906</v>
      </c>
      <c r="EB52" s="521" t="s">
        <v>921</v>
      </c>
    </row>
    <row r="53" spans="131:132">
      <c r="EA53" s="520" t="s">
        <v>907</v>
      </c>
      <c r="EB53" s="521" t="s">
        <v>922</v>
      </c>
    </row>
    <row r="54" spans="131:132">
      <c r="EA54" s="520" t="s">
        <v>908</v>
      </c>
      <c r="EB54" s="521" t="s">
        <v>923</v>
      </c>
    </row>
    <row r="55" spans="131:132">
      <c r="EA55" s="520" t="s">
        <v>909</v>
      </c>
      <c r="EB55" s="521" t="s">
        <v>924</v>
      </c>
    </row>
    <row r="56" spans="131:132">
      <c r="EA56" s="520" t="s">
        <v>910</v>
      </c>
      <c r="EB56" s="521" t="s">
        <v>925</v>
      </c>
    </row>
    <row r="57" spans="131:132">
      <c r="EA57" s="520" t="s">
        <v>911</v>
      </c>
      <c r="EB57" s="521" t="s">
        <v>926</v>
      </c>
    </row>
    <row r="58" spans="131:132">
      <c r="EA58" s="520" t="s">
        <v>912</v>
      </c>
      <c r="EB58" s="521" t="s">
        <v>927</v>
      </c>
    </row>
    <row r="59" spans="131:132">
      <c r="EA59" s="520" t="s">
        <v>913</v>
      </c>
      <c r="EB59" s="521" t="s">
        <v>928</v>
      </c>
    </row>
    <row r="60" spans="131:132">
      <c r="EA60" s="520"/>
      <c r="EB60" s="521"/>
    </row>
    <row r="61" spans="131:132">
      <c r="EA61" s="520" t="s">
        <v>929</v>
      </c>
      <c r="EB61" s="521" t="s">
        <v>932</v>
      </c>
    </row>
    <row r="62" spans="131:132">
      <c r="EA62" s="520" t="s">
        <v>930</v>
      </c>
      <c r="EB62" s="521" t="s">
        <v>933</v>
      </c>
    </row>
    <row r="63" spans="131:132">
      <c r="EA63" s="520" t="s">
        <v>931</v>
      </c>
      <c r="EB63" s="521" t="s">
        <v>934</v>
      </c>
    </row>
  </sheetData>
  <mergeCells count="172">
    <mergeCell ref="AR15:AU15"/>
    <mergeCell ref="X35:Z35"/>
    <mergeCell ref="X36:Z36"/>
    <mergeCell ref="AA35:AC35"/>
    <mergeCell ref="AA36:AC36"/>
    <mergeCell ref="AG19:AJ19"/>
    <mergeCell ref="AF8:AG8"/>
    <mergeCell ref="AF9:AG10"/>
    <mergeCell ref="Z8:AA8"/>
    <mergeCell ref="X9:Y10"/>
    <mergeCell ref="Z9:AA10"/>
    <mergeCell ref="AB9:AC10"/>
    <mergeCell ref="X8:Y8"/>
    <mergeCell ref="AH9:AI10"/>
    <mergeCell ref="AB8:AC8"/>
    <mergeCell ref="A2:T2"/>
    <mergeCell ref="A3:A6"/>
    <mergeCell ref="B3:E3"/>
    <mergeCell ref="F3:K3"/>
    <mergeCell ref="L3:L6"/>
    <mergeCell ref="M3:O3"/>
    <mergeCell ref="P3:T3"/>
    <mergeCell ref="V7:W7"/>
    <mergeCell ref="B5:E5"/>
    <mergeCell ref="F5:K5"/>
    <mergeCell ref="M5:O6"/>
    <mergeCell ref="P5:T6"/>
    <mergeCell ref="V5:W6"/>
    <mergeCell ref="A7:A11"/>
    <mergeCell ref="V9:W10"/>
    <mergeCell ref="B4:E4"/>
    <mergeCell ref="F4:K4"/>
    <mergeCell ref="M4:O4"/>
    <mergeCell ref="P4:R4"/>
    <mergeCell ref="S4:T4"/>
    <mergeCell ref="V4:W4"/>
    <mergeCell ref="B6:E6"/>
    <mergeCell ref="F6:K6"/>
    <mergeCell ref="B7:E7"/>
    <mergeCell ref="A12:A19"/>
    <mergeCell ref="B12:E13"/>
    <mergeCell ref="F12:H12"/>
    <mergeCell ref="I12:K12"/>
    <mergeCell ref="L12:N12"/>
    <mergeCell ref="O12:Q12"/>
    <mergeCell ref="R12:T12"/>
    <mergeCell ref="F13:G13"/>
    <mergeCell ref="I13:J13"/>
    <mergeCell ref="L13:M13"/>
    <mergeCell ref="O13:P13"/>
    <mergeCell ref="R13:S13"/>
    <mergeCell ref="B14:E17"/>
    <mergeCell ref="Q14:T14"/>
    <mergeCell ref="J40:L40"/>
    <mergeCell ref="A33:Q33"/>
    <mergeCell ref="K34:L34"/>
    <mergeCell ref="B30:E30"/>
    <mergeCell ref="F30:K30"/>
    <mergeCell ref="L30:N30"/>
    <mergeCell ref="O30:S30"/>
    <mergeCell ref="A31:E31"/>
    <mergeCell ref="M31:P31"/>
    <mergeCell ref="A20:A30"/>
    <mergeCell ref="A39:T39"/>
    <mergeCell ref="B20:E21"/>
    <mergeCell ref="F20:H21"/>
    <mergeCell ref="I20:K21"/>
    <mergeCell ref="L20:N21"/>
    <mergeCell ref="O20:R21"/>
    <mergeCell ref="S25:T25"/>
    <mergeCell ref="B22:E22"/>
    <mergeCell ref="B23:E23"/>
    <mergeCell ref="B24:E24"/>
    <mergeCell ref="B25:E25"/>
    <mergeCell ref="B26:E26"/>
    <mergeCell ref="S29:T29"/>
    <mergeCell ref="A38:P38"/>
    <mergeCell ref="Z7:AA7"/>
    <mergeCell ref="AF4:AG4"/>
    <mergeCell ref="AF5:AG6"/>
    <mergeCell ref="Z4:AA4"/>
    <mergeCell ref="AH7:AI7"/>
    <mergeCell ref="AH8:AI8"/>
    <mergeCell ref="Q16:T16"/>
    <mergeCell ref="Q17:S17"/>
    <mergeCell ref="Z5:AA6"/>
    <mergeCell ref="X4:Y4"/>
    <mergeCell ref="X5:Y6"/>
    <mergeCell ref="AB4:AC4"/>
    <mergeCell ref="AB5:AC6"/>
    <mergeCell ref="V8:W8"/>
    <mergeCell ref="F8:T9"/>
    <mergeCell ref="F7:T7"/>
    <mergeCell ref="AD4:AE4"/>
    <mergeCell ref="AD5:AE6"/>
    <mergeCell ref="AF7:AG7"/>
    <mergeCell ref="X7:Y7"/>
    <mergeCell ref="AB7:AC7"/>
    <mergeCell ref="AH4:AI4"/>
    <mergeCell ref="AH5:AI6"/>
    <mergeCell ref="B8:E9"/>
    <mergeCell ref="B27:E27"/>
    <mergeCell ref="B28:E28"/>
    <mergeCell ref="B29:E29"/>
    <mergeCell ref="F22:G22"/>
    <mergeCell ref="F27:G27"/>
    <mergeCell ref="F28:G28"/>
    <mergeCell ref="F29:G29"/>
    <mergeCell ref="F23:G23"/>
    <mergeCell ref="F24:G24"/>
    <mergeCell ref="F25:G25"/>
    <mergeCell ref="F26:G26"/>
    <mergeCell ref="B18:E18"/>
    <mergeCell ref="B19:E19"/>
    <mergeCell ref="G19:J19"/>
    <mergeCell ref="B10:E11"/>
    <mergeCell ref="F10:T11"/>
    <mergeCell ref="I22:K22"/>
    <mergeCell ref="Q15:T15"/>
    <mergeCell ref="F14:J14"/>
    <mergeCell ref="K14:P14"/>
    <mergeCell ref="F16:I16"/>
    <mergeCell ref="J16:M16"/>
    <mergeCell ref="N16:P16"/>
    <mergeCell ref="O24:R24"/>
    <mergeCell ref="O25:R25"/>
    <mergeCell ref="O26:R26"/>
    <mergeCell ref="I15:J15"/>
    <mergeCell ref="F15:H15"/>
    <mergeCell ref="K15:O15"/>
    <mergeCell ref="F18:I18"/>
    <mergeCell ref="J18:T18"/>
    <mergeCell ref="S23:T23"/>
    <mergeCell ref="S24:T24"/>
    <mergeCell ref="S26:T26"/>
    <mergeCell ref="O23:R23"/>
    <mergeCell ref="I23:K23"/>
    <mergeCell ref="L22:N22"/>
    <mergeCell ref="L23:N23"/>
    <mergeCell ref="S22:T22"/>
    <mergeCell ref="L19:N19"/>
    <mergeCell ref="O19:P19"/>
    <mergeCell ref="R19:T19"/>
    <mergeCell ref="O22:R22"/>
    <mergeCell ref="F17:H17"/>
    <mergeCell ref="J17:L17"/>
    <mergeCell ref="N17:O17"/>
    <mergeCell ref="S20:T21"/>
    <mergeCell ref="C35:F35"/>
    <mergeCell ref="C36:F36"/>
    <mergeCell ref="C37:F37"/>
    <mergeCell ref="O28:R28"/>
    <mergeCell ref="O29:R29"/>
    <mergeCell ref="I24:K24"/>
    <mergeCell ref="I25:K25"/>
    <mergeCell ref="I26:K26"/>
    <mergeCell ref="I27:K27"/>
    <mergeCell ref="I28:K28"/>
    <mergeCell ref="I29:K29"/>
    <mergeCell ref="L24:N24"/>
    <mergeCell ref="L25:N25"/>
    <mergeCell ref="L26:N26"/>
    <mergeCell ref="L27:N27"/>
    <mergeCell ref="L28:N28"/>
    <mergeCell ref="L29:N29"/>
    <mergeCell ref="O27:R27"/>
    <mergeCell ref="Q37:S37"/>
    <mergeCell ref="G35:P35"/>
    <mergeCell ref="G36:P36"/>
    <mergeCell ref="G37:P37"/>
    <mergeCell ref="S27:T27"/>
    <mergeCell ref="S28:T28"/>
  </mergeCells>
  <phoneticPr fontId="2" type="noConversion"/>
  <conditionalFormatting sqref="A22:B29 O22:O29">
    <cfRule type="cellIs" dxfId="12" priority="32" operator="equal">
      <formula>"값없음"</formula>
    </cfRule>
  </conditionalFormatting>
  <conditionalFormatting sqref="A35:G37">
    <cfRule type="cellIs" dxfId="11" priority="1" operator="equal">
      <formula>"값없음"</formula>
    </cfRule>
  </conditionalFormatting>
  <conditionalFormatting sqref="A1:T7 A8:F8 A9:E9 A10:T13 Q14 A14:F15 I15 P15:Q15 A16:T17 A18:F18 J18 A19:O19 R19 A20:T21 L22:L29 S22:S29 A30:T34 T35:T36 A39:T40">
    <cfRule type="cellIs" dxfId="10" priority="35" operator="equal">
      <formula>"값없음"</formula>
    </cfRule>
  </conditionalFormatting>
  <conditionalFormatting sqref="F22:F29 H22:I29">
    <cfRule type="cellIs" dxfId="9" priority="25" operator="equal">
      <formula>"값없음"</formula>
    </cfRule>
  </conditionalFormatting>
  <dataValidations count="2">
    <dataValidation type="list" allowBlank="1" showInputMessage="1" showErrorMessage="1" sqref="B22:B29" xr:uid="{00000000-0002-0000-0600-000000000000}">
      <formula1>측정항목</formula1>
    </dataValidation>
    <dataValidation type="list" allowBlank="1" showInputMessage="1" showErrorMessage="1" sqref="M31:P31" xr:uid="{00000000-0002-0000-0600-000001000000}">
      <formula1>적합도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orientation="portrait" copies="2" r:id="rId1"/>
  <headerFooter scaleWithDoc="0">
    <oddHeader>&amp;C
&amp;G</oddHeader>
    <oddFooter>&amp;L&amp;9fKET-A-QP-17-02-01(0)   &amp;"굴림체,보통"                                             &amp;R&amp;G</oddFooter>
  </headerFooter>
  <drawing r:id="rId2"/>
  <legacyDrawing r:id="rId3"/>
  <legacyDrawingHF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K42"/>
  <sheetViews>
    <sheetView view="pageBreakPreview" topLeftCell="A13" zoomScaleNormal="100" zoomScaleSheetLayoutView="100" workbookViewId="0">
      <selection activeCell="W40" sqref="W40"/>
    </sheetView>
  </sheetViews>
  <sheetFormatPr defaultColWidth="9" defaultRowHeight="16.899999999999999"/>
  <cols>
    <col min="1" max="1" width="2.875" style="427" customWidth="1"/>
    <col min="2" max="5" width="3.125" style="54" customWidth="1"/>
    <col min="6" max="6" width="5" style="54" customWidth="1"/>
    <col min="7" max="7" width="3.375" style="54" customWidth="1"/>
    <col min="8" max="8" width="6.375" style="54" customWidth="1"/>
    <col min="9" max="9" width="3.375" style="54" customWidth="1"/>
    <col min="10" max="10" width="5.375" style="54" customWidth="1"/>
    <col min="11" max="11" width="5.5" style="54" customWidth="1"/>
    <col min="12" max="12" width="3" style="54" bestFit="1" customWidth="1"/>
    <col min="13" max="13" width="4.625" style="54" customWidth="1"/>
    <col min="14" max="14" width="5.5" style="54" customWidth="1"/>
    <col min="15" max="15" width="4.75" style="54" customWidth="1"/>
    <col min="16" max="16" width="1.75" style="54" customWidth="1"/>
    <col min="17" max="17" width="3.625" style="54" customWidth="1"/>
    <col min="18" max="18" width="5.5" style="54" customWidth="1"/>
    <col min="19" max="19" width="3.625" style="54" customWidth="1"/>
    <col min="20" max="20" width="9.875" style="54" customWidth="1"/>
    <col min="21" max="21" width="5.625" style="54" customWidth="1"/>
    <col min="22" max="33" width="4.5" style="54" customWidth="1"/>
    <col min="34" max="34" width="4.125" style="54" customWidth="1"/>
    <col min="35" max="35" width="5" style="54" customWidth="1"/>
    <col min="36" max="16384" width="9" style="54"/>
  </cols>
  <sheetData>
    <row r="1" spans="1:37" s="402" customFormat="1" ht="17.649999999999999" thickTop="1" thickBot="1">
      <c r="A1" s="1525" t="s">
        <v>563</v>
      </c>
      <c r="B1" s="1525"/>
      <c r="C1" s="1525"/>
      <c r="D1" s="1525"/>
      <c r="E1" s="1525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</row>
    <row r="2" spans="1:37" ht="40.5" customHeight="1" thickBot="1">
      <c r="A2" s="1526" t="s">
        <v>488</v>
      </c>
      <c r="B2" s="1527"/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7"/>
      <c r="N2" s="1527"/>
      <c r="O2" s="1527"/>
      <c r="P2" s="1527"/>
      <c r="Q2" s="1527"/>
      <c r="R2" s="1527"/>
      <c r="S2" s="1527"/>
      <c r="T2" s="1528"/>
    </row>
    <row r="3" spans="1:37" ht="17.100000000000001" customHeight="1" thickTop="1" thickBot="1">
      <c r="A3" s="1488" t="s">
        <v>489</v>
      </c>
      <c r="B3" s="1473" t="s">
        <v>490</v>
      </c>
      <c r="C3" s="1473"/>
      <c r="D3" s="1473"/>
      <c r="E3" s="1473"/>
      <c r="F3" s="1473">
        <f>'대기측정 분석결과서'!E4</f>
        <v>0</v>
      </c>
      <c r="G3" s="1473"/>
      <c r="H3" s="1473"/>
      <c r="I3" s="1473"/>
      <c r="J3" s="1473"/>
      <c r="K3" s="1473"/>
      <c r="L3" s="1529" t="s">
        <v>491</v>
      </c>
      <c r="M3" s="1465" t="s">
        <v>564</v>
      </c>
      <c r="N3" s="1466"/>
      <c r="O3" s="1467"/>
      <c r="P3" s="1465">
        <f>'대기측정 분석결과서'!L6</f>
        <v>0</v>
      </c>
      <c r="Q3" s="1466"/>
      <c r="R3" s="1466"/>
      <c r="S3" s="1466"/>
      <c r="T3" s="1530"/>
      <c r="V3" s="554" t="s">
        <v>1079</v>
      </c>
      <c r="W3" s="554"/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403"/>
    </row>
    <row r="4" spans="1:37" ht="17.100000000000001" customHeight="1" thickTop="1" thickBot="1">
      <c r="A4" s="1489"/>
      <c r="B4" s="1473" t="s">
        <v>492</v>
      </c>
      <c r="C4" s="1473"/>
      <c r="D4" s="1473"/>
      <c r="E4" s="1473"/>
      <c r="F4" s="1465">
        <f>'대기측정 분석결과서'!E5</f>
        <v>0</v>
      </c>
      <c r="G4" s="1466"/>
      <c r="H4" s="1466"/>
      <c r="I4" s="1466"/>
      <c r="J4" s="1466"/>
      <c r="K4" s="1467"/>
      <c r="L4" s="1473"/>
      <c r="M4" s="1465" t="s">
        <v>340</v>
      </c>
      <c r="N4" s="1466"/>
      <c r="O4" s="1467"/>
      <c r="P4" s="1465">
        <f>'대기측정 분석결과서'!E10</f>
        <v>0</v>
      </c>
      <c r="Q4" s="1466"/>
      <c r="R4" s="1466"/>
      <c r="S4" s="1466"/>
      <c r="T4" s="1530"/>
      <c r="V4" s="1573" t="s">
        <v>609</v>
      </c>
      <c r="W4" s="1573"/>
      <c r="X4" s="1573" t="s">
        <v>631</v>
      </c>
      <c r="Y4" s="1573"/>
      <c r="Z4" s="1573" t="s">
        <v>632</v>
      </c>
      <c r="AA4" s="1573"/>
      <c r="AB4" s="1573" t="s">
        <v>740</v>
      </c>
      <c r="AC4" s="1573"/>
      <c r="AD4" s="1573" t="s">
        <v>883</v>
      </c>
      <c r="AE4" s="1573"/>
      <c r="AF4" s="1573" t="s">
        <v>1070</v>
      </c>
      <c r="AG4" s="1573"/>
      <c r="AH4" s="1573" t="s">
        <v>1071</v>
      </c>
      <c r="AI4" s="1573"/>
      <c r="AJ4" s="404" t="s">
        <v>1072</v>
      </c>
      <c r="AK4" s="403"/>
    </row>
    <row r="5" spans="1:37" ht="17.100000000000001" customHeight="1" thickTop="1" thickBot="1">
      <c r="A5" s="1489"/>
      <c r="B5" s="1473" t="s">
        <v>342</v>
      </c>
      <c r="C5" s="1473"/>
      <c r="D5" s="1473"/>
      <c r="E5" s="1473"/>
      <c r="F5" s="1473">
        <f>'대기측정 분석결과서'!E6</f>
        <v>0</v>
      </c>
      <c r="G5" s="1473"/>
      <c r="H5" s="1473"/>
      <c r="I5" s="1473"/>
      <c r="J5" s="1473"/>
      <c r="K5" s="1473"/>
      <c r="L5" s="1473"/>
      <c r="M5" s="1531" t="s">
        <v>343</v>
      </c>
      <c r="N5" s="1515"/>
      <c r="O5" s="1532"/>
      <c r="P5" s="1531" t="str">
        <f>'대기측정 분석결과서'!L9</f>
        <v>자동차</v>
      </c>
      <c r="Q5" s="1515"/>
      <c r="R5" s="1515"/>
      <c r="S5" s="1515"/>
      <c r="T5" s="1516"/>
      <c r="V5" s="156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405"/>
      <c r="AK5" s="405"/>
    </row>
    <row r="6" spans="1:37" ht="17.100000000000001" customHeight="1" thickTop="1" thickBot="1">
      <c r="A6" s="1489"/>
      <c r="B6" s="1473" t="s">
        <v>460</v>
      </c>
      <c r="C6" s="1473"/>
      <c r="D6" s="1473"/>
      <c r="E6" s="1473"/>
      <c r="F6" s="1473" t="str">
        <f>'대기측정 분석결과서'!E7</f>
        <v>여 형 석</v>
      </c>
      <c r="G6" s="1473"/>
      <c r="H6" s="1473"/>
      <c r="I6" s="1473"/>
      <c r="J6" s="1473"/>
      <c r="K6" s="1473"/>
      <c r="L6" s="1473"/>
      <c r="M6" s="1533"/>
      <c r="N6" s="1517"/>
      <c r="O6" s="1534"/>
      <c r="P6" s="1533"/>
      <c r="Q6" s="1517"/>
      <c r="R6" s="1517"/>
      <c r="S6" s="1517"/>
      <c r="T6" s="1518"/>
      <c r="V6" s="1566"/>
      <c r="W6" s="1566"/>
      <c r="X6" s="1566"/>
      <c r="Y6" s="1566"/>
      <c r="Z6" s="1566"/>
      <c r="AA6" s="1566"/>
      <c r="AB6" s="1566"/>
      <c r="AC6" s="1566"/>
      <c r="AD6" s="1566"/>
      <c r="AE6" s="1566"/>
      <c r="AF6" s="1574"/>
      <c r="AG6" s="1574"/>
      <c r="AH6" s="1566"/>
      <c r="AI6" s="1566"/>
      <c r="AJ6" s="406"/>
      <c r="AK6" s="406"/>
    </row>
    <row r="7" spans="1:37" ht="17.100000000000001" customHeight="1" thickTop="1" thickBot="1">
      <c r="A7" s="1488" t="s">
        <v>344</v>
      </c>
      <c r="B7" s="1473" t="s">
        <v>345</v>
      </c>
      <c r="C7" s="1473"/>
      <c r="D7" s="1473"/>
      <c r="E7" s="1473"/>
      <c r="F7" s="1500" t="str">
        <f>"자가 측정용"</f>
        <v>자가 측정용</v>
      </c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2"/>
      <c r="V7" s="1573" t="s">
        <v>608</v>
      </c>
      <c r="W7" s="1573"/>
      <c r="X7" s="1573" t="s">
        <v>1078</v>
      </c>
      <c r="Y7" s="1573"/>
      <c r="Z7" s="1573"/>
      <c r="AA7" s="1573"/>
      <c r="AB7" s="1573" t="s">
        <v>733</v>
      </c>
      <c r="AC7" s="1573"/>
      <c r="AD7" s="378"/>
      <c r="AE7" s="378"/>
      <c r="AF7" s="1575"/>
      <c r="AG7" s="1576"/>
      <c r="AH7" s="1575"/>
      <c r="AI7" s="1576"/>
      <c r="AJ7" s="407"/>
      <c r="AK7" s="408"/>
    </row>
    <row r="8" spans="1:37" ht="17.100000000000001" customHeight="1" thickTop="1" thickBot="1">
      <c r="A8" s="1489"/>
      <c r="B8" s="1491" t="s">
        <v>346</v>
      </c>
      <c r="C8" s="1472"/>
      <c r="D8" s="1472"/>
      <c r="E8" s="1475"/>
      <c r="F8" s="383"/>
      <c r="G8" s="1503" t="s">
        <v>565</v>
      </c>
      <c r="H8" s="1503"/>
      <c r="I8" s="1503"/>
      <c r="J8" s="1503"/>
      <c r="K8" s="1503"/>
      <c r="L8" s="1503"/>
      <c r="M8" s="1503"/>
      <c r="N8" s="409"/>
      <c r="O8" s="1551" t="s">
        <v>566</v>
      </c>
      <c r="P8" s="1503"/>
      <c r="Q8" s="1503"/>
      <c r="R8" s="1503"/>
      <c r="S8" s="1503"/>
      <c r="T8" s="1504"/>
      <c r="V8" s="1573" t="s">
        <v>823</v>
      </c>
      <c r="W8" s="1573"/>
      <c r="X8" s="1573" t="s">
        <v>1068</v>
      </c>
      <c r="Y8" s="1573"/>
      <c r="Z8" s="1573"/>
      <c r="AA8" s="1573"/>
      <c r="AB8" s="1573" t="s">
        <v>1068</v>
      </c>
      <c r="AC8" s="1573"/>
      <c r="AD8" s="378"/>
      <c r="AE8" s="378"/>
      <c r="AF8" s="1577" t="s">
        <v>1073</v>
      </c>
      <c r="AG8" s="1578"/>
      <c r="AH8" s="1577" t="s">
        <v>822</v>
      </c>
      <c r="AI8" s="1578"/>
      <c r="AJ8" s="410" t="s">
        <v>1074</v>
      </c>
      <c r="AK8" s="411"/>
    </row>
    <row r="9" spans="1:37" ht="17.100000000000001" customHeight="1" thickTop="1" thickBot="1">
      <c r="A9" s="1489"/>
      <c r="B9" s="1490"/>
      <c r="C9" s="1477"/>
      <c r="D9" s="1477"/>
      <c r="E9" s="1478"/>
      <c r="F9" s="383"/>
      <c r="G9" s="1503" t="str">
        <f>'대기측정 분석결과서'!E9&amp;" "&amp;"(KGAR-"&amp;RIGHT(YEAR('먼지측정 사전 Data'!N6),2)&amp;"-"&amp;'먼지측정 사전 Data'!O4&amp;")"</f>
        <v xml:space="preserve"> (KGAR-26-)</v>
      </c>
      <c r="H9" s="1503"/>
      <c r="I9" s="1503"/>
      <c r="J9" s="1503"/>
      <c r="K9" s="1503"/>
      <c r="L9" s="1503"/>
      <c r="M9" s="1503"/>
      <c r="N9" s="409"/>
      <c r="O9" s="412"/>
      <c r="P9" s="1503">
        <f>'대기측정 분석결과서'!E11</f>
        <v>0</v>
      </c>
      <c r="Q9" s="1503"/>
      <c r="R9" s="1503"/>
      <c r="S9" s="1503" t="s">
        <v>341</v>
      </c>
      <c r="T9" s="1504"/>
      <c r="V9" s="1566"/>
      <c r="W9" s="1566"/>
      <c r="X9" s="1566"/>
      <c r="Y9" s="1566"/>
      <c r="Z9" s="1566"/>
      <c r="AA9" s="1566"/>
      <c r="AB9" s="1566"/>
      <c r="AC9" s="1566"/>
      <c r="AD9" s="378"/>
      <c r="AE9" s="378"/>
      <c r="AF9" s="1579"/>
      <c r="AG9" s="1580"/>
      <c r="AH9" s="1579"/>
      <c r="AI9" s="1580"/>
      <c r="AJ9" s="405"/>
      <c r="AK9" s="378"/>
    </row>
    <row r="10" spans="1:37" ht="37.5" customHeight="1" thickTop="1" thickBot="1">
      <c r="A10" s="1489"/>
      <c r="B10" s="1473" t="s">
        <v>347</v>
      </c>
      <c r="C10" s="1473"/>
      <c r="D10" s="1473"/>
      <c r="E10" s="1473"/>
      <c r="F10" s="1505" t="str">
        <f>'대기측정 분석결과서'!U11</f>
        <v>THC (총 1 항목)</v>
      </c>
      <c r="G10" s="1506"/>
      <c r="H10" s="1506"/>
      <c r="I10" s="1506"/>
      <c r="J10" s="1506"/>
      <c r="K10" s="1506"/>
      <c r="L10" s="1506"/>
      <c r="M10" s="1506"/>
      <c r="N10" s="1506"/>
      <c r="O10" s="1506"/>
      <c r="P10" s="1506"/>
      <c r="Q10" s="1506"/>
      <c r="R10" s="1506"/>
      <c r="S10" s="1506"/>
      <c r="T10" s="1507"/>
      <c r="V10" s="1566"/>
      <c r="W10" s="1566"/>
      <c r="X10" s="1566"/>
      <c r="Y10" s="1566"/>
      <c r="Z10" s="1566"/>
      <c r="AA10" s="1566"/>
      <c r="AB10" s="1566"/>
      <c r="AC10" s="1566"/>
      <c r="AD10" s="378"/>
      <c r="AE10" s="378"/>
      <c r="AF10" s="1581"/>
      <c r="AG10" s="1582"/>
      <c r="AH10" s="1581"/>
      <c r="AI10" s="1582"/>
      <c r="AJ10" s="406"/>
      <c r="AK10" s="378"/>
    </row>
    <row r="11" spans="1:37" ht="18.600000000000001" customHeight="1" thickTop="1">
      <c r="A11" s="1488" t="s">
        <v>348</v>
      </c>
      <c r="B11" s="1473" t="s">
        <v>349</v>
      </c>
      <c r="C11" s="1473"/>
      <c r="D11" s="1473"/>
      <c r="E11" s="1473"/>
      <c r="F11" s="1458" t="s">
        <v>496</v>
      </c>
      <c r="G11" s="1460"/>
      <c r="H11" s="1458" t="s">
        <v>493</v>
      </c>
      <c r="I11" s="1460"/>
      <c r="J11" s="1458" t="s">
        <v>350</v>
      </c>
      <c r="K11" s="1460"/>
      <c r="L11" s="1458" t="s">
        <v>494</v>
      </c>
      <c r="M11" s="1459"/>
      <c r="N11" s="1460"/>
      <c r="O11" s="1458" t="s">
        <v>351</v>
      </c>
      <c r="P11" s="1459"/>
      <c r="Q11" s="1460"/>
      <c r="R11" s="1458" t="s">
        <v>495</v>
      </c>
      <c r="S11" s="1460"/>
      <c r="T11" s="413" t="s">
        <v>567</v>
      </c>
      <c r="V11" s="54" t="s">
        <v>1075</v>
      </c>
    </row>
    <row r="12" spans="1:37" ht="18.600000000000001" customHeight="1">
      <c r="A12" s="1489"/>
      <c r="B12" s="1473"/>
      <c r="C12" s="1473"/>
      <c r="D12" s="1473"/>
      <c r="E12" s="1473"/>
      <c r="F12" s="1555">
        <f>'대기측정 분석결과서'!E17</f>
        <v>0</v>
      </c>
      <c r="G12" s="1556"/>
      <c r="H12" s="414">
        <f>'대기측정 분석결과서'!I17</f>
        <v>0</v>
      </c>
      <c r="I12" s="379" t="s">
        <v>333</v>
      </c>
      <c r="J12" s="415">
        <f>'대기측정 분석결과서'!M17</f>
        <v>0</v>
      </c>
      <c r="K12" s="379" t="s">
        <v>462</v>
      </c>
      <c r="L12" s="1559">
        <f>'대기측정 분석결과서'!Q17</f>
        <v>0</v>
      </c>
      <c r="M12" s="1560"/>
      <c r="N12" s="382" t="s">
        <v>432</v>
      </c>
      <c r="O12" s="1559">
        <f>'대기측정 분석결과서'!V17</f>
        <v>0</v>
      </c>
      <c r="P12" s="1560"/>
      <c r="Q12" s="379" t="s">
        <v>334</v>
      </c>
      <c r="R12" s="415">
        <f>'대기측정 분석결과서'!AA17</f>
        <v>0</v>
      </c>
      <c r="S12" s="382" t="s">
        <v>568</v>
      </c>
      <c r="T12" s="416" t="e">
        <f>IF('먼지측정 사전 Data'!Q60=0,'시험일지(계산일지-1)'!F11,'시험일지(계산일지-1 포화)'!F11)</f>
        <v>#DIV/0!</v>
      </c>
      <c r="V12" s="54" t="s">
        <v>1077</v>
      </c>
      <c r="AD12"/>
      <c r="AK12" s="417"/>
    </row>
    <row r="13" spans="1:37" customFormat="1" ht="18.600000000000001" customHeight="1">
      <c r="A13" s="1489"/>
      <c r="B13" s="2052" t="s">
        <v>461</v>
      </c>
      <c r="C13" s="2052"/>
      <c r="D13" s="2052"/>
      <c r="E13" s="2052"/>
      <c r="F13" s="1512" t="s">
        <v>957</v>
      </c>
      <c r="G13" s="1513"/>
      <c r="H13" s="1546"/>
      <c r="I13" s="1512" t="s">
        <v>958</v>
      </c>
      <c r="J13" s="1513"/>
      <c r="K13" s="1513"/>
      <c r="L13" s="1512" t="s">
        <v>951</v>
      </c>
      <c r="M13" s="1513"/>
      <c r="N13" s="1546"/>
      <c r="O13" s="1512" t="s">
        <v>569</v>
      </c>
      <c r="P13" s="1513"/>
      <c r="Q13" s="1546"/>
      <c r="R13" s="1512" t="s">
        <v>952</v>
      </c>
      <c r="S13" s="1546"/>
      <c r="T13" s="530" t="s">
        <v>570</v>
      </c>
      <c r="V13" t="s">
        <v>1076</v>
      </c>
      <c r="Z13" s="553"/>
      <c r="AA13" s="553"/>
      <c r="AB13" s="553"/>
      <c r="AC13" s="553"/>
      <c r="AD13" s="1583"/>
      <c r="AE13" s="1583"/>
      <c r="AF13" s="1583"/>
      <c r="AG13" s="1583"/>
      <c r="AH13" s="1583"/>
      <c r="AI13" s="1583"/>
      <c r="AJ13" s="1583"/>
      <c r="AK13" s="1583"/>
    </row>
    <row r="14" spans="1:37" customFormat="1" ht="18.600000000000001" customHeight="1">
      <c r="A14" s="1489"/>
      <c r="B14" s="2052"/>
      <c r="C14" s="2052"/>
      <c r="D14" s="2052"/>
      <c r="E14" s="2052"/>
      <c r="F14" s="2050" t="e">
        <f>'시험일지(계산일지-2)'!I11</f>
        <v>#DIV/0!</v>
      </c>
      <c r="G14" s="2051"/>
      <c r="H14" s="536" t="s">
        <v>824</v>
      </c>
      <c r="I14" s="2050" t="e">
        <f>'시험일지(계산일지-2)'!H21</f>
        <v>#DIV/0!</v>
      </c>
      <c r="J14" s="2051"/>
      <c r="K14" s="536" t="s">
        <v>824</v>
      </c>
      <c r="L14" s="1513" t="e">
        <f>'먼지측정 사전 Data'!R69</f>
        <v>#DIV/0!</v>
      </c>
      <c r="M14" s="1513"/>
      <c r="N14" s="531" t="s">
        <v>39</v>
      </c>
      <c r="O14" s="1512">
        <f>'먼지측정 사전 Data'!H14</f>
        <v>0</v>
      </c>
      <c r="P14" s="1513"/>
      <c r="Q14" s="529" t="s">
        <v>462</v>
      </c>
      <c r="R14" s="528">
        <f>'먼지측정 사전 Data'!R13</f>
        <v>20.9</v>
      </c>
      <c r="S14" s="529" t="s">
        <v>462</v>
      </c>
      <c r="T14" s="532" t="e">
        <f>'먼지측정 사전 Data'!R82 &amp;" m/s"</f>
        <v>#DIV/0!</v>
      </c>
      <c r="V14" s="48" t="s">
        <v>772</v>
      </c>
      <c r="Z14" s="1583"/>
      <c r="AA14" s="1583"/>
      <c r="AB14" s="1583"/>
      <c r="AC14" s="1583"/>
      <c r="AD14" s="1583"/>
      <c r="AE14" s="1583"/>
      <c r="AF14" s="1583"/>
      <c r="AG14" s="1583"/>
      <c r="AH14" s="1583"/>
      <c r="AI14" s="1583"/>
      <c r="AJ14" s="1583"/>
      <c r="AK14" s="1583"/>
    </row>
    <row r="15" spans="1:37" ht="18.600000000000001" customHeight="1">
      <c r="A15" s="1489"/>
      <c r="B15" s="1473" t="s">
        <v>571</v>
      </c>
      <c r="C15" s="1473"/>
      <c r="D15" s="1473"/>
      <c r="E15" s="1473"/>
      <c r="F15" s="1458" t="s">
        <v>722</v>
      </c>
      <c r="G15" s="1459"/>
      <c r="H15" s="1459"/>
      <c r="I15" s="1459"/>
      <c r="J15" s="1459"/>
      <c r="K15" s="1460"/>
      <c r="L15" s="2040">
        <v>7</v>
      </c>
      <c r="M15" s="2041"/>
      <c r="N15" s="418" t="s">
        <v>572</v>
      </c>
      <c r="O15" s="1465" t="s">
        <v>573</v>
      </c>
      <c r="P15" s="1466"/>
      <c r="Q15" s="1467"/>
      <c r="R15" s="1547" t="e">
        <f>IF(LEN('한종_시료채취기록지 (사용X)'!E8)=1,'한종_시료채취기록지 (사용X)'!E8&amp;".000  m",IF(LEN('한종_시료채취기록지 (사용X)'!E8)=3,'한종_시료채취기록지 (사용X)'!E8&amp;"00  m",IF(LEN('한종_시료채취기록지 (사용X)'!E8)=4,'한종_시료채취기록지 (사용X)'!E8&amp;"0  m",'한종_시료채취기록지 (사용X)'!E8&amp;"  m")))</f>
        <v>#VALUE!</v>
      </c>
      <c r="S15" s="1548"/>
      <c r="T15" s="1549"/>
      <c r="Z15" s="1476"/>
      <c r="AA15" s="1476"/>
      <c r="AB15" s="1476"/>
      <c r="AC15" s="1476"/>
      <c r="AD15" s="1476"/>
      <c r="AE15" s="1476"/>
      <c r="AF15" s="1476"/>
      <c r="AG15" s="1476"/>
      <c r="AH15" s="1476"/>
      <c r="AI15" s="1476"/>
      <c r="AJ15" s="1476"/>
      <c r="AK15" s="1476"/>
    </row>
    <row r="16" spans="1:37" ht="18" customHeight="1">
      <c r="A16" s="1489"/>
      <c r="B16" s="1471" t="s">
        <v>574</v>
      </c>
      <c r="C16" s="1472"/>
      <c r="D16" s="1472"/>
      <c r="E16" s="1475"/>
      <c r="F16" s="1458" t="s">
        <v>575</v>
      </c>
      <c r="G16" s="1459"/>
      <c r="H16" s="1459"/>
      <c r="I16" s="1459"/>
      <c r="J16" s="1459"/>
      <c r="K16" s="1460"/>
      <c r="L16" s="1458" t="s">
        <v>576</v>
      </c>
      <c r="M16" s="1459"/>
      <c r="N16" s="1459"/>
      <c r="O16" s="1459"/>
      <c r="P16" s="1459"/>
      <c r="Q16" s="1460"/>
      <c r="R16" s="1458" t="s">
        <v>577</v>
      </c>
      <c r="S16" s="1459"/>
      <c r="T16" s="1519"/>
      <c r="Z16" s="1476"/>
      <c r="AA16" s="1476"/>
      <c r="AB16" s="1476"/>
      <c r="AC16" s="1476"/>
      <c r="AD16" s="1476"/>
      <c r="AE16" s="1476"/>
      <c r="AF16" s="1476"/>
      <c r="AG16" s="1476"/>
      <c r="AH16" s="1476"/>
      <c r="AI16" s="1476"/>
      <c r="AJ16" s="1476"/>
      <c r="AK16" s="1476"/>
    </row>
    <row r="17" spans="1:37" ht="18" customHeight="1">
      <c r="A17" s="1489"/>
      <c r="B17" s="1570"/>
      <c r="C17" s="1571"/>
      <c r="D17" s="1571"/>
      <c r="E17" s="1572"/>
      <c r="F17" s="1458">
        <f>'대기측정 분석결과서'!H13</f>
        <v>0</v>
      </c>
      <c r="G17" s="1459"/>
      <c r="H17" s="1459"/>
      <c r="I17" s="1459"/>
      <c r="J17" s="1459"/>
      <c r="K17" s="1460"/>
      <c r="L17" s="1458"/>
      <c r="M17" s="1459"/>
      <c r="N17" s="1459"/>
      <c r="O17" s="1459"/>
      <c r="P17" s="1459"/>
      <c r="Q17" s="1460"/>
      <c r="R17" s="2016"/>
      <c r="S17" s="2017"/>
      <c r="T17" s="413" t="s">
        <v>194</v>
      </c>
      <c r="Z17" s="1584"/>
      <c r="AA17" s="1584"/>
      <c r="AB17" s="1584"/>
      <c r="AC17" s="1584"/>
      <c r="AD17" s="1584"/>
      <c r="AE17" s="1584"/>
      <c r="AF17" s="378" t="s">
        <v>775</v>
      </c>
      <c r="AG17" s="411"/>
      <c r="AH17" s="378"/>
      <c r="AI17" s="378"/>
      <c r="AJ17" s="1476"/>
      <c r="AK17" s="1476"/>
    </row>
    <row r="18" spans="1:37" ht="18.95" customHeight="1">
      <c r="A18" s="1489"/>
      <c r="B18" s="1473" t="s">
        <v>463</v>
      </c>
      <c r="C18" s="1473"/>
      <c r="D18" s="1473"/>
      <c r="E18" s="1473"/>
      <c r="F18" s="383"/>
      <c r="G18" s="1521">
        <f>'먼지측정 사전 Data'!N5</f>
        <v>0</v>
      </c>
      <c r="H18" s="1521"/>
      <c r="I18" s="1521"/>
      <c r="J18" s="1521"/>
      <c r="K18" s="384"/>
      <c r="L18" s="1458" t="s">
        <v>352</v>
      </c>
      <c r="M18" s="1459"/>
      <c r="N18" s="1460"/>
      <c r="O18" s="1465">
        <f>'대기측정 분석결과서'!U7</f>
        <v>0</v>
      </c>
      <c r="P18" s="1466"/>
      <c r="Q18" s="1466"/>
      <c r="R18" s="419" t="s">
        <v>777</v>
      </c>
      <c r="S18" s="1990" t="str">
        <f>'대기측정 분석결과서'!X7&amp;"   (인)"</f>
        <v>0   (인)</v>
      </c>
      <c r="T18" s="1991"/>
      <c r="Z18" s="1584"/>
      <c r="AA18" s="1584"/>
      <c r="AB18" s="1584"/>
      <c r="AC18" s="1584"/>
      <c r="AD18" s="1584"/>
      <c r="AE18" s="1584"/>
      <c r="AF18" s="2038" t="s">
        <v>773</v>
      </c>
      <c r="AG18" s="2038"/>
      <c r="AH18" s="2039"/>
      <c r="AI18" s="378"/>
      <c r="AJ18" s="1584"/>
      <c r="AK18" s="1584"/>
    </row>
    <row r="19" spans="1:37" ht="15.75" customHeight="1">
      <c r="A19" s="1508" t="s">
        <v>848</v>
      </c>
      <c r="B19" s="1471" t="s">
        <v>578</v>
      </c>
      <c r="C19" s="1472"/>
      <c r="D19" s="1472"/>
      <c r="E19" s="1475"/>
      <c r="F19" s="1458" t="s">
        <v>579</v>
      </c>
      <c r="G19" s="1459"/>
      <c r="H19" s="1459"/>
      <c r="I19" s="1459"/>
      <c r="J19" s="1459"/>
      <c r="K19" s="1459"/>
      <c r="L19" s="1459"/>
      <c r="M19" s="1459"/>
      <c r="N19" s="1459"/>
      <c r="O19" s="1459"/>
      <c r="P19" s="1459"/>
      <c r="Q19" s="1460"/>
      <c r="R19" s="1515" t="s">
        <v>580</v>
      </c>
      <c r="S19" s="1515"/>
      <c r="T19" s="1516"/>
      <c r="Z19" s="1476"/>
      <c r="AA19" s="1476"/>
      <c r="AB19" s="1476"/>
      <c r="AC19" s="1476"/>
      <c r="AD19" s="1476"/>
      <c r="AE19" s="1476"/>
      <c r="AF19" s="1476"/>
      <c r="AG19" s="1476"/>
      <c r="AH19" s="378"/>
      <c r="AI19" s="378"/>
      <c r="AJ19" s="1476"/>
      <c r="AK19" s="1476"/>
    </row>
    <row r="20" spans="1:37" ht="15.75" customHeight="1">
      <c r="A20" s="1509"/>
      <c r="B20" s="1490"/>
      <c r="C20" s="1477"/>
      <c r="D20" s="1477"/>
      <c r="E20" s="1478"/>
      <c r="F20" s="1474" t="s">
        <v>581</v>
      </c>
      <c r="G20" s="1474"/>
      <c r="H20" s="1474" t="s">
        <v>582</v>
      </c>
      <c r="I20" s="1474"/>
      <c r="J20" s="1474" t="s">
        <v>583</v>
      </c>
      <c r="K20" s="1474"/>
      <c r="L20" s="1474" t="s">
        <v>584</v>
      </c>
      <c r="M20" s="1474"/>
      <c r="N20" s="1474" t="s">
        <v>585</v>
      </c>
      <c r="O20" s="1474"/>
      <c r="P20" s="1474" t="s">
        <v>586</v>
      </c>
      <c r="Q20" s="1474"/>
      <c r="R20" s="1517"/>
      <c r="S20" s="1517"/>
      <c r="T20" s="1518"/>
      <c r="Z20" s="1476"/>
      <c r="AA20" s="1476"/>
      <c r="AB20" s="1476"/>
      <c r="AC20" s="1476"/>
      <c r="AD20" s="1476"/>
      <c r="AE20" s="1476"/>
      <c r="AF20" s="1476"/>
      <c r="AG20" s="1476"/>
      <c r="AH20" s="378"/>
      <c r="AI20" s="378"/>
      <c r="AJ20" s="1476"/>
      <c r="AK20" s="1476"/>
    </row>
    <row r="21" spans="1:37" ht="19.5" customHeight="1">
      <c r="A21" s="1510"/>
      <c r="B21" s="1465">
        <f>'대기측정 분석결과서'!E9</f>
        <v>0</v>
      </c>
      <c r="C21" s="1466"/>
      <c r="D21" s="1466"/>
      <c r="E21" s="1467"/>
      <c r="F21" s="1468" t="str">
        <f>'대기측정 분석결과서'!L11</f>
        <v>-</v>
      </c>
      <c r="G21" s="1468"/>
      <c r="H21" s="1473"/>
      <c r="I21" s="1473"/>
      <c r="J21" s="1473"/>
      <c r="K21" s="1473"/>
      <c r="L21" s="1535"/>
      <c r="M21" s="1473"/>
      <c r="N21" s="2056" t="s">
        <v>587</v>
      </c>
      <c r="O21" s="2056"/>
      <c r="P21" s="2046" t="str">
        <f>'대기측정 분석결과서'!N11</f>
        <v>Kg/Hr</v>
      </c>
      <c r="Q21" s="2046"/>
      <c r="R21" s="1465">
        <f>F17</f>
        <v>0</v>
      </c>
      <c r="S21" s="1466"/>
      <c r="T21" s="1530"/>
    </row>
    <row r="22" spans="1:37" ht="12" customHeight="1">
      <c r="A22" s="1567" t="s">
        <v>588</v>
      </c>
      <c r="B22" s="1473" t="s">
        <v>353</v>
      </c>
      <c r="C22" s="1473"/>
      <c r="D22" s="1473"/>
      <c r="E22" s="1473"/>
      <c r="F22" s="1473" t="s">
        <v>589</v>
      </c>
      <c r="G22" s="1473"/>
      <c r="H22" s="1473"/>
      <c r="I22" s="1473" t="s">
        <v>354</v>
      </c>
      <c r="J22" s="1473"/>
      <c r="K22" s="1473"/>
      <c r="L22" s="2020" t="s">
        <v>590</v>
      </c>
      <c r="M22" s="2021"/>
      <c r="N22" s="2042"/>
      <c r="O22" s="1497" t="s">
        <v>504</v>
      </c>
      <c r="P22" s="1498"/>
      <c r="Q22" s="1498"/>
      <c r="R22" s="1499"/>
      <c r="S22" s="1531" t="s">
        <v>355</v>
      </c>
      <c r="T22" s="1516"/>
    </row>
    <row r="23" spans="1:37" ht="12" customHeight="1">
      <c r="A23" s="1568"/>
      <c r="B23" s="1473"/>
      <c r="C23" s="1473"/>
      <c r="D23" s="1473"/>
      <c r="E23" s="1473"/>
      <c r="F23" s="1473"/>
      <c r="G23" s="1473"/>
      <c r="H23" s="1473"/>
      <c r="I23" s="1473"/>
      <c r="J23" s="1473"/>
      <c r="K23" s="1473"/>
      <c r="L23" s="2022"/>
      <c r="M23" s="2023"/>
      <c r="N23" s="2043"/>
      <c r="O23" s="1497"/>
      <c r="P23" s="1498"/>
      <c r="Q23" s="1498"/>
      <c r="R23" s="1499"/>
      <c r="S23" s="1533"/>
      <c r="T23" s="1518"/>
    </row>
    <row r="24" spans="1:37" ht="21.95" customHeight="1">
      <c r="A24" s="1568"/>
      <c r="B24" s="1996" t="s">
        <v>527</v>
      </c>
      <c r="C24" s="1469"/>
      <c r="D24" s="1469"/>
      <c r="E24" s="1470"/>
      <c r="F24" s="1997" t="s">
        <v>847</v>
      </c>
      <c r="G24" s="1998"/>
      <c r="H24" s="527" t="str">
        <f>IF(B24="","",INDEX('대기측정 분석결과서'!$AH$23:$AH$72,MATCH(B24,항목,0)))</f>
        <v>ppm</v>
      </c>
      <c r="I24" s="1483" t="str">
        <f>IF(B24="","",IF(INDEX('대기측정 분석결과서'!$F$23:$I$72,MATCH(B24,항목,0),1)="","값없음",IF(ISERROR(FIXED(IF(INDEX('대기측정 분석결과서'!$F$23:$I$72,MATCH(B24,항목,0),1)&lt;INDEX('대기측정 분석결과서'!$AG$23:$AG$72,MATCH(B24,항목,0)),"불검출",INDEX('대기측정 분석결과서'!$F$23:$I$72,MATCH(B24,항목,0),1)),INDEX('대기측정 분석결과서'!$AI$23:$AI$72,MATCH(B24,항목,0)))),"불검출",FIXED(INDEX('대기측정 분석결과서'!$F$23:$I$72,MATCH(B24,항목,0),1),INDEX('대기측정 분석결과서'!$AI$23:$AI$72,MATCH(B24,항목,0))))))</f>
        <v>값없음</v>
      </c>
      <c r="J24" s="1484"/>
      <c r="K24" s="1485"/>
      <c r="L24" s="1979"/>
      <c r="M24" s="1980"/>
      <c r="N24" s="1981"/>
      <c r="O24" s="1471" t="str">
        <f>IF(B24="","",INDEX('대기측정 분석결과서'!$Z$23:$Z$72,MATCH(B24,항목,0)))</f>
        <v>ES 01308.1b</v>
      </c>
      <c r="P24" s="1472"/>
      <c r="Q24" s="1472"/>
      <c r="R24" s="1475"/>
      <c r="S24" s="1984" t="str">
        <f>IF(B24="","",INDEX('대기측정 분석결과서'!$M$23:$M$72,MATCH(B24,항목,0)))</f>
        <v>자동측정법/자동연속장치</v>
      </c>
      <c r="T24" s="1985"/>
    </row>
    <row r="25" spans="1:37" ht="21.95" customHeight="1">
      <c r="A25" s="1568"/>
      <c r="B25" s="1996" t="s">
        <v>956</v>
      </c>
      <c r="C25" s="1469"/>
      <c r="D25" s="1469"/>
      <c r="E25" s="1470"/>
      <c r="F25" s="1997" t="str">
        <f t="shared" ref="F25" si="0">IF(B25="","","??")</f>
        <v>??</v>
      </c>
      <c r="G25" s="1998"/>
      <c r="H25" s="527" t="str">
        <f>IF(B25="","",INDEX('대기측정 분석결과서'!$AH$23:$AH$72,MATCH(B25,항목,0)))</f>
        <v>ppm</v>
      </c>
      <c r="I25" s="1483" t="str">
        <f>IF(B25="","",IF(INDEX('대기측정 분석결과서'!$F$23:$I$72,MATCH(B25,항목,0),1)="","값없음",IF(ISERROR(FIXED(IF(INDEX('대기측정 분석결과서'!$F$23:$I$72,MATCH(B25,항목,0),1)&lt;INDEX('대기측정 분석결과서'!$AG$23:$AG$72,MATCH(B25,항목,0)),"불검출",INDEX('대기측정 분석결과서'!$F$23:$I$72,MATCH(B25,항목,0),1)),INDEX('대기측정 분석결과서'!$AI$23:$AI$72,MATCH(B25,항목,0)))),"불검출",FIXED(INDEX('대기측정 분석결과서'!$F$23:$I$72,MATCH(B25,항목,0),1),INDEX('대기측정 분석결과서'!$AI$23:$AI$72,MATCH(B25,항목,0))))))</f>
        <v>값없음</v>
      </c>
      <c r="J25" s="1484"/>
      <c r="K25" s="1485"/>
      <c r="L25" s="1979"/>
      <c r="M25" s="1980"/>
      <c r="N25" s="1981"/>
      <c r="O25" s="1471" t="str">
        <f>IF(B25="","",INDEX('대기측정 분석결과서'!$Z$23:$Z$72,MATCH(B25,항목,0)))</f>
        <v>ES 01305.2d</v>
      </c>
      <c r="P25" s="1472"/>
      <c r="Q25" s="1472"/>
      <c r="R25" s="1475"/>
      <c r="S25" s="1984" t="str">
        <f>IF(B25="","",INDEX('대기측정 분석결과서'!$M$23:$M$72,MATCH(B25,항목,0)))</f>
        <v xml:space="preserve">자외선가시선분광법-싸이오사이안산제이수은법 </v>
      </c>
      <c r="T25" s="1985"/>
    </row>
    <row r="26" spans="1:37" ht="21.95" customHeight="1">
      <c r="A26" s="1568"/>
      <c r="B26" s="1996" t="s">
        <v>960</v>
      </c>
      <c r="C26" s="1469"/>
      <c r="D26" s="1469"/>
      <c r="E26" s="1470"/>
      <c r="F26" s="1997" t="str">
        <f t="shared" ref="F26" si="1">IF(B26="","","??")</f>
        <v>??</v>
      </c>
      <c r="G26" s="1998"/>
      <c r="H26" s="527" t="str">
        <f>IF(B26="","",INDEX('대기측정 분석결과서'!$AH$23:$AH$72,MATCH(B26,항목,0)))</f>
        <v>ppm</v>
      </c>
      <c r="I26" s="1483" t="str">
        <f>IF(B26="","",IF(INDEX('대기측정 분석결과서'!$F$23:$I$72,MATCH(B26,항목,0),1)="","값없음",IF(ISERROR(FIXED(IF(INDEX('대기측정 분석결과서'!$F$23:$I$72,MATCH(B26,항목,0),1)&lt;INDEX('대기측정 분석결과서'!$AG$23:$AG$72,MATCH(B26,항목,0)),"불검출",INDEX('대기측정 분석결과서'!$F$23:$I$72,MATCH(B26,항목,0),1)),INDEX('대기측정 분석결과서'!$AI$23:$AI$72,MATCH(B26,항목,0)))),"불검출",FIXED(INDEX('대기측정 분석결과서'!$F$23:$I$72,MATCH(B26,항목,0),1),INDEX('대기측정 분석결과서'!$AI$23:$AI$72,MATCH(B26,항목,0))))))</f>
        <v>값없음</v>
      </c>
      <c r="J26" s="1484"/>
      <c r="K26" s="1485"/>
      <c r="L26" s="1979"/>
      <c r="M26" s="1980"/>
      <c r="N26" s="1981"/>
      <c r="O26" s="1471" t="str">
        <f>IF(B26="","",INDEX('대기측정 분석결과서'!$Z$23:$Z$72,MATCH(B26,항목,0)))</f>
        <v>ES 01312.1e</v>
      </c>
      <c r="P26" s="1472"/>
      <c r="Q26" s="1472"/>
      <c r="R26" s="1475"/>
      <c r="S26" s="1984" t="str">
        <f>IF(B26="","",INDEX('대기측정 분석결과서'!$M$23:$M$72,MATCH(B26,항목,0)))</f>
        <v>자외선/가시선분광법- 4-피리딘카복실산-피라졸론법</v>
      </c>
      <c r="T26" s="1985"/>
    </row>
    <row r="27" spans="1:37" ht="21.95" customHeight="1">
      <c r="A27" s="1568"/>
      <c r="B27" s="1996"/>
      <c r="C27" s="1469"/>
      <c r="D27" s="1469"/>
      <c r="E27" s="1470"/>
      <c r="F27" s="1997" t="str">
        <f t="shared" ref="F27" si="2">IF(B27="","","??")</f>
        <v/>
      </c>
      <c r="G27" s="1998"/>
      <c r="H27" s="527" t="str">
        <f>IF(B27="","",INDEX('대기측정 분석결과서'!$AH$23:$AH$72,MATCH(B27,항목,0)))</f>
        <v/>
      </c>
      <c r="I27" s="1483" t="str">
        <f>IF(B27="","",IF(INDEX('대기측정 분석결과서'!$F$23:$I$72,MATCH(B27,항목,0),1)="","값없음",IF(ISERROR(FIXED(IF(INDEX('대기측정 분석결과서'!$F$23:$I$72,MATCH(B27,항목,0),1)&lt;INDEX('대기측정 분석결과서'!$AG$23:$AG$72,MATCH(B27,항목,0)),"불검출",INDEX('대기측정 분석결과서'!$F$23:$I$72,MATCH(B27,항목,0),1)),INDEX('대기측정 분석결과서'!$AI$23:$AI$72,MATCH(B27,항목,0)))),"불검출",FIXED(INDEX('대기측정 분석결과서'!$F$23:$I$72,MATCH(B27,항목,0),1),INDEX('대기측정 분석결과서'!$AI$23:$AI$72,MATCH(B27,항목,0))))))</f>
        <v/>
      </c>
      <c r="J27" s="1484"/>
      <c r="K27" s="1485"/>
      <c r="L27" s="1979"/>
      <c r="M27" s="1980"/>
      <c r="N27" s="1981"/>
      <c r="O27" s="1471" t="str">
        <f>IF(B27="","",INDEX('대기측정 분석결과서'!$Z$23:$Z$72,MATCH(B27,항목,0)))</f>
        <v/>
      </c>
      <c r="P27" s="1472"/>
      <c r="Q27" s="1472"/>
      <c r="R27" s="1475"/>
      <c r="S27" s="2044" t="str">
        <f>IF(B27="","",INDEX('대기측정 분석결과서'!$M$23:$M$72,MATCH(B27,항목,0)))</f>
        <v/>
      </c>
      <c r="T27" s="2045"/>
    </row>
    <row r="28" spans="1:37" ht="21.95" customHeight="1">
      <c r="A28" s="1568"/>
      <c r="B28" s="1996"/>
      <c r="C28" s="1469"/>
      <c r="D28" s="1469"/>
      <c r="E28" s="1470"/>
      <c r="F28" s="1997" t="str">
        <f t="shared" ref="F28" si="3">IF(B28="","","??")</f>
        <v/>
      </c>
      <c r="G28" s="1998"/>
      <c r="H28" s="527" t="str">
        <f>IF(B28="","",INDEX('대기측정 분석결과서'!$AH$23:$AH$72,MATCH(B28,항목,0)))</f>
        <v/>
      </c>
      <c r="I28" s="1483" t="str">
        <f>IF(B28="","",IF(INDEX('대기측정 분석결과서'!$F$23:$I$72,MATCH(B28,항목,0),1)="","값없음",IF(ISERROR(FIXED(IF(INDEX('대기측정 분석결과서'!$F$23:$I$72,MATCH(B28,항목,0),1)&lt;INDEX('대기측정 분석결과서'!$AG$23:$AG$72,MATCH(B28,항목,0)),"불검출",INDEX('대기측정 분석결과서'!$F$23:$I$72,MATCH(B28,항목,0),1)),INDEX('대기측정 분석결과서'!$AI$23:$AI$72,MATCH(B28,항목,0)))),"불검출",FIXED(INDEX('대기측정 분석결과서'!$F$23:$I$72,MATCH(B28,항목,0),1),INDEX('대기측정 분석결과서'!$AI$23:$AI$72,MATCH(B28,항목,0))))))</f>
        <v/>
      </c>
      <c r="J28" s="1484"/>
      <c r="K28" s="1485"/>
      <c r="L28" s="1979"/>
      <c r="M28" s="1980"/>
      <c r="N28" s="1981"/>
      <c r="O28" s="1471" t="str">
        <f>IF(B28="","",INDEX('대기측정 분석결과서'!$Z$23:$Z$72,MATCH(B28,항목,0)))</f>
        <v/>
      </c>
      <c r="P28" s="1472"/>
      <c r="Q28" s="1472"/>
      <c r="R28" s="1475"/>
      <c r="S28" s="2044" t="str">
        <f>IF(B28="","",INDEX('대기측정 분석결과서'!$M$23:$M$72,MATCH(B28,항목,0)))</f>
        <v/>
      </c>
      <c r="T28" s="2045"/>
    </row>
    <row r="29" spans="1:37" ht="21.95" customHeight="1">
      <c r="A29" s="1568"/>
      <c r="B29" s="1996"/>
      <c r="C29" s="1469"/>
      <c r="D29" s="1469"/>
      <c r="E29" s="1470"/>
      <c r="F29" s="1997" t="str">
        <f t="shared" ref="F29" si="4">IF(B29="","","??")</f>
        <v/>
      </c>
      <c r="G29" s="1998"/>
      <c r="H29" s="527" t="str">
        <f>IF(B29="","",INDEX('대기측정 분석결과서'!$AH$23:$AH$72,MATCH(B29,항목,0)))</f>
        <v/>
      </c>
      <c r="I29" s="1483" t="str">
        <f>IF(B29="","",IF(INDEX('대기측정 분석결과서'!$F$23:$I$72,MATCH(B29,항목,0),1)="","값없음",IF(ISERROR(FIXED(IF(INDEX('대기측정 분석결과서'!$F$23:$I$72,MATCH(B29,항목,0),1)&lt;INDEX('대기측정 분석결과서'!$AG$23:$AG$72,MATCH(B29,항목,0)),"불검출",INDEX('대기측정 분석결과서'!$F$23:$I$72,MATCH(B29,항목,0),1)),INDEX('대기측정 분석결과서'!$AI$23:$AI$72,MATCH(B29,항목,0)))),"불검출",FIXED(INDEX('대기측정 분석결과서'!$F$23:$I$72,MATCH(B29,항목,0),1),INDEX('대기측정 분석결과서'!$AI$23:$AI$72,MATCH(B29,항목,0))))))</f>
        <v/>
      </c>
      <c r="J29" s="1484"/>
      <c r="K29" s="1485"/>
      <c r="L29" s="1979"/>
      <c r="M29" s="1980"/>
      <c r="N29" s="1981"/>
      <c r="O29" s="1471" t="str">
        <f>IF(B29="","",INDEX('대기측정 분석결과서'!$Z$23:$Z$72,MATCH(B29,항목,0)))</f>
        <v/>
      </c>
      <c r="P29" s="1472"/>
      <c r="Q29" s="1472"/>
      <c r="R29" s="1475"/>
      <c r="S29" s="2044" t="str">
        <f>IF(B29="","",INDEX('대기측정 분석결과서'!$M$23:$M$72,MATCH(B29,항목,0)))</f>
        <v/>
      </c>
      <c r="T29" s="2045"/>
    </row>
    <row r="30" spans="1:37" ht="21.95" customHeight="1">
      <c r="A30" s="1568"/>
      <c r="B30" s="1996"/>
      <c r="C30" s="1469"/>
      <c r="D30" s="1469"/>
      <c r="E30" s="1470"/>
      <c r="F30" s="1997" t="str">
        <f t="shared" ref="F30" si="5">IF(B30="","","??")</f>
        <v/>
      </c>
      <c r="G30" s="1998"/>
      <c r="H30" s="527" t="str">
        <f>IF(B30="","",INDEX('대기측정 분석결과서'!$AH$23:$AH$72,MATCH(B30,항목,0)))</f>
        <v/>
      </c>
      <c r="I30" s="1483" t="str">
        <f>IF(B30="","",IF(INDEX('대기측정 분석결과서'!$F$23:$I$72,MATCH(B30,항목,0),1)="","값없음",IF(ISERROR(FIXED(IF(INDEX('대기측정 분석결과서'!$F$23:$I$72,MATCH(B30,항목,0),1)&lt;INDEX('대기측정 분석결과서'!$AG$23:$AG$72,MATCH(B30,항목,0)),"불검출",INDEX('대기측정 분석결과서'!$F$23:$I$72,MATCH(B30,항목,0),1)),INDEX('대기측정 분석결과서'!$AI$23:$AI$72,MATCH(B30,항목,0)))),"불검출",FIXED(INDEX('대기측정 분석결과서'!$F$23:$I$72,MATCH(B30,항목,0),1),INDEX('대기측정 분석결과서'!$AI$23:$AI$72,MATCH(B30,항목,0))))))</f>
        <v/>
      </c>
      <c r="J30" s="1484"/>
      <c r="K30" s="1485"/>
      <c r="L30" s="1979"/>
      <c r="M30" s="1980"/>
      <c r="N30" s="1981"/>
      <c r="O30" s="1471" t="str">
        <f>IF(B30="","",INDEX('대기측정 분석결과서'!$Z$23:$Z$72,MATCH(B30,항목,0)))</f>
        <v/>
      </c>
      <c r="P30" s="1472"/>
      <c r="Q30" s="1472"/>
      <c r="R30" s="1475"/>
      <c r="S30" s="2044" t="str">
        <f>IF(B30="","",INDEX('대기측정 분석결과서'!$M$23:$M$72,MATCH(B30,항목,0)))</f>
        <v/>
      </c>
      <c r="T30" s="2045"/>
    </row>
    <row r="31" spans="1:37" ht="21.95" customHeight="1">
      <c r="A31" s="1568"/>
      <c r="B31" s="1996"/>
      <c r="C31" s="1469"/>
      <c r="D31" s="1469"/>
      <c r="E31" s="1470"/>
      <c r="F31" s="1997" t="str">
        <f t="shared" ref="F31" si="6">IF(B31="","","??")</f>
        <v/>
      </c>
      <c r="G31" s="1998"/>
      <c r="H31" s="527" t="str">
        <f>IF(B31="","",INDEX('대기측정 분석결과서'!$AH$23:$AH$72,MATCH(B31,항목,0)))</f>
        <v/>
      </c>
      <c r="I31" s="1483" t="str">
        <f>IF(B31="","",IF(INDEX('대기측정 분석결과서'!$F$23:$I$72,MATCH(B31,항목,0),1)="","값없음",IF(ISERROR(FIXED(IF(INDEX('대기측정 분석결과서'!$F$23:$I$72,MATCH(B31,항목,0),1)&lt;INDEX('대기측정 분석결과서'!$AG$23:$AG$72,MATCH(B31,항목,0)),"불검출",INDEX('대기측정 분석결과서'!$F$23:$I$72,MATCH(B31,항목,0),1)),INDEX('대기측정 분석결과서'!$AI$23:$AI$72,MATCH(B31,항목,0)))),"불검출",FIXED(INDEX('대기측정 분석결과서'!$F$23:$I$72,MATCH(B31,항목,0),1),INDEX('대기측정 분석결과서'!$AI$23:$AI$72,MATCH(B31,항목,0))))))</f>
        <v/>
      </c>
      <c r="J31" s="1484"/>
      <c r="K31" s="1485"/>
      <c r="L31" s="1979"/>
      <c r="M31" s="1980"/>
      <c r="N31" s="1981"/>
      <c r="O31" s="1471" t="str">
        <f>IF(B31="","",INDEX('대기측정 분석결과서'!$Z$23:$Z$72,MATCH(B31,항목,0)))</f>
        <v/>
      </c>
      <c r="P31" s="1472"/>
      <c r="Q31" s="1472"/>
      <c r="R31" s="1475"/>
      <c r="S31" s="2044" t="str">
        <f>IF(B31="","",INDEX('대기측정 분석결과서'!$M$23:$M$72,MATCH(B31,항목,0)))</f>
        <v/>
      </c>
      <c r="T31" s="2045"/>
    </row>
    <row r="32" spans="1:37" ht="17.25" customHeight="1">
      <c r="A32" s="1569"/>
      <c r="B32" s="1458" t="s">
        <v>506</v>
      </c>
      <c r="C32" s="1459"/>
      <c r="D32" s="1459"/>
      <c r="E32" s="1460"/>
      <c r="F32" s="2047" t="str">
        <f>'먼지측정 사전 Data'!H5</f>
        <v>2026-02-06 ~ 1900-01-00</v>
      </c>
      <c r="G32" s="2048"/>
      <c r="H32" s="2048"/>
      <c r="I32" s="2048"/>
      <c r="J32" s="2048"/>
      <c r="K32" s="2048"/>
      <c r="L32" s="2049"/>
      <c r="M32" s="1458" t="s">
        <v>507</v>
      </c>
      <c r="N32" s="1459"/>
      <c r="O32" s="1459"/>
      <c r="P32" s="1460"/>
      <c r="Q32" s="1458" t="str">
        <f>'대기측정 분석결과서'!U9</f>
        <v>이 나 영</v>
      </c>
      <c r="R32" s="1459"/>
      <c r="S32" s="1459"/>
      <c r="T32" s="420" t="s">
        <v>500</v>
      </c>
      <c r="U32" s="397"/>
    </row>
    <row r="33" spans="1:28" ht="16.5" customHeight="1">
      <c r="A33" s="1461" t="s">
        <v>591</v>
      </c>
      <c r="B33" s="1462"/>
      <c r="C33" s="1462"/>
      <c r="D33" s="1462"/>
      <c r="E33" s="1463"/>
      <c r="F33" s="388"/>
      <c r="G33" s="389"/>
      <c r="H33" s="389" t="s">
        <v>1140</v>
      </c>
      <c r="I33" s="389"/>
      <c r="J33" s="389"/>
      <c r="K33" s="421"/>
      <c r="L33" s="2019" t="s">
        <v>595</v>
      </c>
      <c r="M33" s="2019"/>
      <c r="N33" s="2019"/>
      <c r="O33" s="2019"/>
      <c r="P33" s="2019"/>
      <c r="Q33" s="389" t="s">
        <v>1139</v>
      </c>
      <c r="R33" s="422"/>
      <c r="S33" s="389"/>
      <c r="T33" s="391"/>
    </row>
    <row r="34" spans="1:28" ht="15" customHeight="1">
      <c r="A34" s="1456" t="s">
        <v>616</v>
      </c>
      <c r="B34" s="1457"/>
      <c r="C34" s="1457"/>
      <c r="D34" s="1457"/>
      <c r="E34" s="1457"/>
      <c r="F34" s="1457"/>
      <c r="G34" s="1457"/>
      <c r="H34" s="1457"/>
      <c r="I34" s="1457"/>
      <c r="J34" s="1457"/>
      <c r="K34" s="1457"/>
      <c r="L34" s="1457"/>
      <c r="M34" s="1457"/>
      <c r="N34" s="1457"/>
      <c r="O34" s="1457"/>
      <c r="P34" s="1457"/>
      <c r="Q34" s="1457"/>
      <c r="R34" s="378"/>
      <c r="S34" s="378"/>
      <c r="T34" s="400"/>
    </row>
    <row r="35" spans="1:28" ht="15" customHeight="1">
      <c r="A35" s="397"/>
      <c r="B35" s="378"/>
      <c r="C35" s="378"/>
      <c r="D35" s="378"/>
      <c r="E35" s="378"/>
      <c r="F35" s="378"/>
      <c r="G35" s="378"/>
      <c r="H35" s="378"/>
      <c r="I35" s="378"/>
      <c r="J35" s="378"/>
      <c r="K35" s="1616">
        <f>YEAR('먼지측정 사전 Data'!R6)</f>
        <v>2026</v>
      </c>
      <c r="L35" s="1616"/>
      <c r="M35" s="423" t="s">
        <v>464</v>
      </c>
      <c r="N35" s="423"/>
      <c r="O35" s="424">
        <f>MONTH('먼지측정 사전 Data'!R6)</f>
        <v>2</v>
      </c>
      <c r="P35" s="423" t="s">
        <v>510</v>
      </c>
      <c r="Q35" s="423"/>
      <c r="R35" s="424">
        <f>DAY('먼지측정 사전 Data'!R6)</f>
        <v>13</v>
      </c>
      <c r="S35" s="423" t="s">
        <v>511</v>
      </c>
      <c r="T35" s="400"/>
    </row>
    <row r="36" spans="1:28" ht="15" customHeight="1">
      <c r="A36" s="397"/>
      <c r="B36" s="395"/>
      <c r="C36" s="1476" t="s">
        <v>942</v>
      </c>
      <c r="D36" s="1476"/>
      <c r="E36" s="1476"/>
      <c r="F36" s="1476"/>
      <c r="G36" s="1536" t="s">
        <v>820</v>
      </c>
      <c r="H36" s="1536"/>
      <c r="I36" s="1536"/>
      <c r="J36" s="1536"/>
      <c r="K36" s="1536"/>
      <c r="L36" s="1536"/>
      <c r="M36" s="1536"/>
      <c r="N36" s="1536"/>
      <c r="O36" s="1536"/>
      <c r="P36" s="1536"/>
      <c r="Q36" s="378"/>
      <c r="R36" s="378"/>
      <c r="S36" s="378"/>
      <c r="T36" s="400"/>
    </row>
    <row r="37" spans="1:28" ht="15" customHeight="1">
      <c r="A37" s="397"/>
      <c r="B37" s="395"/>
      <c r="C37" s="1476" t="s">
        <v>943</v>
      </c>
      <c r="D37" s="1476"/>
      <c r="E37" s="1476"/>
      <c r="F37" s="1476"/>
      <c r="G37" s="2054" t="s">
        <v>1066</v>
      </c>
      <c r="H37" s="2054"/>
      <c r="I37" s="2054"/>
      <c r="J37" s="2054"/>
      <c r="K37" s="2054"/>
      <c r="L37" s="2054"/>
      <c r="M37" s="2054"/>
      <c r="N37" s="2054"/>
      <c r="O37" s="2054"/>
      <c r="P37" s="2054"/>
      <c r="Q37" s="378"/>
      <c r="R37" s="378"/>
      <c r="S37" s="378"/>
      <c r="T37" s="400"/>
      <c r="W37" s="1585"/>
      <c r="X37" s="1585"/>
      <c r="Y37" s="1585"/>
      <c r="Z37" s="1586"/>
      <c r="AA37" s="1585"/>
      <c r="AB37" s="1585"/>
    </row>
    <row r="38" spans="1:28" ht="15" customHeight="1">
      <c r="A38" s="397"/>
      <c r="B38" s="395"/>
      <c r="C38" s="1476" t="s">
        <v>944</v>
      </c>
      <c r="D38" s="1476"/>
      <c r="E38" s="1476"/>
      <c r="F38" s="1476"/>
      <c r="G38" s="1536" t="s">
        <v>835</v>
      </c>
      <c r="H38" s="1536"/>
      <c r="I38" s="1536"/>
      <c r="J38" s="1536"/>
      <c r="K38" s="1536"/>
      <c r="L38" s="1536"/>
      <c r="M38" s="1536"/>
      <c r="N38" s="1536"/>
      <c r="O38" s="1536"/>
      <c r="P38" s="1536"/>
      <c r="Q38" s="533"/>
      <c r="R38" s="2055" t="s">
        <v>969</v>
      </c>
      <c r="S38" s="2055"/>
      <c r="T38" s="425"/>
      <c r="W38" s="2036" t="s">
        <v>779</v>
      </c>
      <c r="X38" s="2036"/>
      <c r="Y38" s="2036"/>
      <c r="Z38" s="2053">
        <v>45638</v>
      </c>
      <c r="AA38" s="2036"/>
      <c r="AB38" s="2036"/>
    </row>
    <row r="39" spans="1:28" ht="13.5" customHeight="1">
      <c r="A39" s="537" t="s">
        <v>1064</v>
      </c>
      <c r="B39" s="423"/>
      <c r="C39" s="423"/>
      <c r="D39" s="423"/>
      <c r="E39" s="423"/>
      <c r="F39" s="395"/>
      <c r="G39" s="538"/>
      <c r="H39" s="538"/>
      <c r="I39" s="538"/>
      <c r="J39" s="538"/>
      <c r="K39" s="538"/>
      <c r="L39" s="538"/>
      <c r="M39" s="538"/>
      <c r="N39" s="538"/>
      <c r="O39" s="423"/>
      <c r="P39" s="423"/>
      <c r="Q39" s="423"/>
      <c r="R39" s="539"/>
      <c r="S39" s="539"/>
      <c r="T39" s="540"/>
    </row>
    <row r="40" spans="1:28" ht="14.25" customHeight="1">
      <c r="A40" s="1449" t="s">
        <v>1062</v>
      </c>
      <c r="B40" s="1450"/>
      <c r="C40" s="1450"/>
      <c r="D40" s="1450"/>
      <c r="E40" s="1450"/>
      <c r="F40" s="1450"/>
      <c r="G40" s="1450"/>
      <c r="H40" s="1450"/>
      <c r="I40" s="1450"/>
      <c r="J40" s="1450"/>
      <c r="K40" s="1450"/>
      <c r="L40" s="1450"/>
      <c r="M40" s="1450"/>
      <c r="N40" s="1450"/>
      <c r="O40" s="1450"/>
      <c r="P40" s="1450"/>
      <c r="Q40" s="1450"/>
      <c r="R40" s="1450"/>
      <c r="S40" s="1450"/>
      <c r="T40" s="1451"/>
    </row>
    <row r="41" spans="1:28" ht="14.25" customHeight="1" thickBot="1">
      <c r="A41" s="1452" t="s">
        <v>592</v>
      </c>
      <c r="B41" s="1453"/>
      <c r="C41" s="1453"/>
      <c r="D41" s="1453"/>
      <c r="E41" s="1453"/>
      <c r="F41" s="1453"/>
      <c r="G41" s="1453"/>
      <c r="H41" s="1453"/>
      <c r="I41" s="1453"/>
      <c r="J41" s="1453"/>
      <c r="K41" s="1453"/>
      <c r="L41" s="1453"/>
      <c r="M41" s="1453"/>
      <c r="N41" s="1453"/>
      <c r="O41" s="1453"/>
      <c r="P41" s="1453"/>
      <c r="Q41" s="1453"/>
      <c r="R41" s="1453"/>
      <c r="S41" s="1453"/>
      <c r="T41" s="1454"/>
    </row>
    <row r="42" spans="1:28">
      <c r="A42" s="426"/>
    </row>
  </sheetData>
  <mergeCells count="223">
    <mergeCell ref="Z37:AB37"/>
    <mergeCell ref="Z38:AB38"/>
    <mergeCell ref="R15:T15"/>
    <mergeCell ref="S25:T25"/>
    <mergeCell ref="S24:T24"/>
    <mergeCell ref="R21:T21"/>
    <mergeCell ref="S26:T26"/>
    <mergeCell ref="O24:R24"/>
    <mergeCell ref="O15:Q15"/>
    <mergeCell ref="S28:T28"/>
    <mergeCell ref="O28:R28"/>
    <mergeCell ref="O29:R29"/>
    <mergeCell ref="G36:P36"/>
    <mergeCell ref="G37:P37"/>
    <mergeCell ref="G38:P38"/>
    <mergeCell ref="R38:S38"/>
    <mergeCell ref="S18:T18"/>
    <mergeCell ref="N20:O20"/>
    <mergeCell ref="P20:Q20"/>
    <mergeCell ref="N21:O21"/>
    <mergeCell ref="H21:I21"/>
    <mergeCell ref="L21:M21"/>
    <mergeCell ref="O18:Q18"/>
    <mergeCell ref="I28:K28"/>
    <mergeCell ref="W38:Y38"/>
    <mergeCell ref="W37:Y37"/>
    <mergeCell ref="F21:G21"/>
    <mergeCell ref="O14:P14"/>
    <mergeCell ref="B29:E29"/>
    <mergeCell ref="F29:G29"/>
    <mergeCell ref="I29:K29"/>
    <mergeCell ref="L29:N29"/>
    <mergeCell ref="S29:T29"/>
    <mergeCell ref="F27:G27"/>
    <mergeCell ref="I27:K27"/>
    <mergeCell ref="L27:N27"/>
    <mergeCell ref="S27:T27"/>
    <mergeCell ref="O27:R27"/>
    <mergeCell ref="B22:E23"/>
    <mergeCell ref="F22:H23"/>
    <mergeCell ref="C36:F36"/>
    <mergeCell ref="C37:F37"/>
    <mergeCell ref="L17:Q17"/>
    <mergeCell ref="L28:N28"/>
    <mergeCell ref="B13:E14"/>
    <mergeCell ref="B21:E21"/>
    <mergeCell ref="B18:E18"/>
    <mergeCell ref="B24:E24"/>
    <mergeCell ref="AB4:AC4"/>
    <mergeCell ref="AD4:AE4"/>
    <mergeCell ref="AF4:AG4"/>
    <mergeCell ref="V5:W6"/>
    <mergeCell ref="X5:Y6"/>
    <mergeCell ref="Z5:AA6"/>
    <mergeCell ref="AB5:AC6"/>
    <mergeCell ref="AD5:AE6"/>
    <mergeCell ref="AF5:AG6"/>
    <mergeCell ref="V4:W4"/>
    <mergeCell ref="X4:Y4"/>
    <mergeCell ref="Z4:AA4"/>
    <mergeCell ref="A1:E1"/>
    <mergeCell ref="A2:T2"/>
    <mergeCell ref="A3:A6"/>
    <mergeCell ref="B3:E3"/>
    <mergeCell ref="F3:K3"/>
    <mergeCell ref="L3:L6"/>
    <mergeCell ref="M3:O3"/>
    <mergeCell ref="P3:T3"/>
    <mergeCell ref="B4:E4"/>
    <mergeCell ref="F4:K4"/>
    <mergeCell ref="B6:E6"/>
    <mergeCell ref="F6:K6"/>
    <mergeCell ref="M4:O4"/>
    <mergeCell ref="P4:T4"/>
    <mergeCell ref="B5:E5"/>
    <mergeCell ref="F5:K5"/>
    <mergeCell ref="M5:O6"/>
    <mergeCell ref="P5:T6"/>
    <mergeCell ref="O13:Q13"/>
    <mergeCell ref="R13:S13"/>
    <mergeCell ref="R17:S17"/>
    <mergeCell ref="R11:S11"/>
    <mergeCell ref="F12:G12"/>
    <mergeCell ref="R16:T16"/>
    <mergeCell ref="AB7:AC7"/>
    <mergeCell ref="AF7:AG7"/>
    <mergeCell ref="AB8:AC8"/>
    <mergeCell ref="AF8:AG8"/>
    <mergeCell ref="V9:W10"/>
    <mergeCell ref="X9:Y10"/>
    <mergeCell ref="Z9:AA10"/>
    <mergeCell ref="V7:W7"/>
    <mergeCell ref="X7:Y7"/>
    <mergeCell ref="Z7:AA7"/>
    <mergeCell ref="O12:P12"/>
    <mergeCell ref="X8:Y8"/>
    <mergeCell ref="Z8:AA8"/>
    <mergeCell ref="AB9:AC10"/>
    <mergeCell ref="AF9:AG10"/>
    <mergeCell ref="V8:W8"/>
    <mergeCell ref="F14:G14"/>
    <mergeCell ref="I14:J14"/>
    <mergeCell ref="A7:A10"/>
    <mergeCell ref="B7:E7"/>
    <mergeCell ref="F7:T7"/>
    <mergeCell ref="B8:E9"/>
    <mergeCell ref="G8:M8"/>
    <mergeCell ref="O8:T8"/>
    <mergeCell ref="G9:M9"/>
    <mergeCell ref="P9:R9"/>
    <mergeCell ref="S9:T9"/>
    <mergeCell ref="B10:E10"/>
    <mergeCell ref="F10:T10"/>
    <mergeCell ref="AJ13:AK13"/>
    <mergeCell ref="Z14:AA14"/>
    <mergeCell ref="AB14:AC14"/>
    <mergeCell ref="AD14:AE14"/>
    <mergeCell ref="AF14:AG14"/>
    <mergeCell ref="AH14:AI14"/>
    <mergeCell ref="AJ19:AK20"/>
    <mergeCell ref="Z15:AA16"/>
    <mergeCell ref="AB15:AC16"/>
    <mergeCell ref="AD15:AE16"/>
    <mergeCell ref="AF15:AG16"/>
    <mergeCell ref="AH15:AI16"/>
    <mergeCell ref="AJ15:AK16"/>
    <mergeCell ref="Z17:AA17"/>
    <mergeCell ref="AB17:AC17"/>
    <mergeCell ref="AD17:AE17"/>
    <mergeCell ref="AJ17:AK17"/>
    <mergeCell ref="AJ14:AK14"/>
    <mergeCell ref="AJ18:AK18"/>
    <mergeCell ref="AB19:AC20"/>
    <mergeCell ref="AF19:AG20"/>
    <mergeCell ref="AD13:AE13"/>
    <mergeCell ref="A41:T41"/>
    <mergeCell ref="K35:L35"/>
    <mergeCell ref="A34:Q34"/>
    <mergeCell ref="B32:E32"/>
    <mergeCell ref="F32:L32"/>
    <mergeCell ref="M32:P32"/>
    <mergeCell ref="A33:E33"/>
    <mergeCell ref="L33:P33"/>
    <mergeCell ref="Q32:S32"/>
    <mergeCell ref="A22:A32"/>
    <mergeCell ref="B27:E27"/>
    <mergeCell ref="I24:K24"/>
    <mergeCell ref="I25:K25"/>
    <mergeCell ref="L24:N24"/>
    <mergeCell ref="L25:N25"/>
    <mergeCell ref="B26:E26"/>
    <mergeCell ref="F26:G26"/>
    <mergeCell ref="F24:G24"/>
    <mergeCell ref="F25:G25"/>
    <mergeCell ref="B28:E28"/>
    <mergeCell ref="F28:G28"/>
    <mergeCell ref="C38:F38"/>
    <mergeCell ref="I22:K23"/>
    <mergeCell ref="O25:R25"/>
    <mergeCell ref="A40:T40"/>
    <mergeCell ref="A19:A21"/>
    <mergeCell ref="B19:E20"/>
    <mergeCell ref="F19:Q19"/>
    <mergeCell ref="R19:T20"/>
    <mergeCell ref="F20:G20"/>
    <mergeCell ref="H20:I20"/>
    <mergeCell ref="A11:A18"/>
    <mergeCell ref="B11:E12"/>
    <mergeCell ref="F11:G11"/>
    <mergeCell ref="H11:I11"/>
    <mergeCell ref="J11:K11"/>
    <mergeCell ref="L11:N11"/>
    <mergeCell ref="O11:Q11"/>
    <mergeCell ref="B15:E15"/>
    <mergeCell ref="F15:K15"/>
    <mergeCell ref="S31:T31"/>
    <mergeCell ref="P21:Q21"/>
    <mergeCell ref="B16:E17"/>
    <mergeCell ref="F16:K16"/>
    <mergeCell ref="L16:Q16"/>
    <mergeCell ref="S30:T30"/>
    <mergeCell ref="O30:R30"/>
    <mergeCell ref="O31:R31"/>
    <mergeCell ref="AH4:AI4"/>
    <mergeCell ref="AH5:AI6"/>
    <mergeCell ref="Z18:AA18"/>
    <mergeCell ref="AB18:AC18"/>
    <mergeCell ref="AD18:AE18"/>
    <mergeCell ref="I26:K26"/>
    <mergeCell ref="L26:N26"/>
    <mergeCell ref="O26:R26"/>
    <mergeCell ref="S22:T23"/>
    <mergeCell ref="AH7:AI7"/>
    <mergeCell ref="AH8:AI8"/>
    <mergeCell ref="AH9:AI10"/>
    <mergeCell ref="AF13:AG13"/>
    <mergeCell ref="AH13:AI13"/>
    <mergeCell ref="L22:N23"/>
    <mergeCell ref="O22:R23"/>
    <mergeCell ref="L18:N18"/>
    <mergeCell ref="AF18:AH18"/>
    <mergeCell ref="Z19:AA20"/>
    <mergeCell ref="AD19:AE20"/>
    <mergeCell ref="L14:M14"/>
    <mergeCell ref="L12:M12"/>
    <mergeCell ref="J21:K21"/>
    <mergeCell ref="L13:N13"/>
    <mergeCell ref="F13:H13"/>
    <mergeCell ref="I13:K13"/>
    <mergeCell ref="B25:E25"/>
    <mergeCell ref="B31:E31"/>
    <mergeCell ref="F31:G31"/>
    <mergeCell ref="I31:K31"/>
    <mergeCell ref="L31:N31"/>
    <mergeCell ref="L15:M15"/>
    <mergeCell ref="J20:K20"/>
    <mergeCell ref="L20:M20"/>
    <mergeCell ref="F17:K17"/>
    <mergeCell ref="G18:J18"/>
    <mergeCell ref="B30:E30"/>
    <mergeCell ref="F30:G30"/>
    <mergeCell ref="I30:K30"/>
    <mergeCell ref="L30:N30"/>
  </mergeCells>
  <phoneticPr fontId="2" type="noConversion"/>
  <conditionalFormatting sqref="A1:T9 A10:F10 A11:T12 A15:R15 A16:T17 A18:O18 S18 A19:T22 B23:T23 B24:B31 F24:F31 H24:I31 L24:L31 S24:S31 B32:P32 A33:T35 A36:B38 T36:T38">
    <cfRule type="cellIs" dxfId="8" priority="24" operator="equal">
      <formula>"값없음"</formula>
    </cfRule>
  </conditionalFormatting>
  <conditionalFormatting sqref="A39:T42">
    <cfRule type="cellIs" dxfId="7" priority="6" operator="equal">
      <formula>"값없음"</formula>
    </cfRule>
  </conditionalFormatting>
  <conditionalFormatting sqref="C36:G38">
    <cfRule type="cellIs" dxfId="6" priority="1" operator="equal">
      <formula>"값없음"</formula>
    </cfRule>
  </conditionalFormatting>
  <conditionalFormatting sqref="L13 O13:R13 A13:I14 K14:L14">
    <cfRule type="cellIs" dxfId="5" priority="5" operator="equal">
      <formula>"값없음"</formula>
    </cfRule>
  </conditionalFormatting>
  <conditionalFormatting sqref="N14:S14">
    <cfRule type="cellIs" dxfId="4" priority="3" operator="equal">
      <formula>"값없음"</formula>
    </cfRule>
  </conditionalFormatting>
  <conditionalFormatting sqref="O24:O31">
    <cfRule type="cellIs" dxfId="3" priority="9" operator="equal">
      <formula>"값없음"</formula>
    </cfRule>
  </conditionalFormatting>
  <conditionalFormatting sqref="Q32 T32:U32">
    <cfRule type="cellIs" dxfId="2" priority="23" operator="equal">
      <formula>"값없음"</formula>
    </cfRule>
  </conditionalFormatting>
  <conditionalFormatting sqref="Q36:S37 Q38:R38">
    <cfRule type="cellIs" dxfId="1" priority="2" operator="equal">
      <formula>"값없음"</formula>
    </cfRule>
  </conditionalFormatting>
  <conditionalFormatting sqref="T13:T14">
    <cfRule type="cellIs" dxfId="0" priority="4" operator="equal">
      <formula>"값없음"</formula>
    </cfRule>
  </conditionalFormatting>
  <dataValidations count="2">
    <dataValidation type="list" allowBlank="1" showInputMessage="1" showErrorMessage="1" sqref="B24:B31" xr:uid="{00000000-0002-0000-0800-000000000000}">
      <formula1>항목</formula1>
    </dataValidation>
    <dataValidation type="list" allowBlank="1" showInputMessage="1" showErrorMessage="1" sqref="L33:P33" xr:uid="{00000000-0002-0000-0800-000001000000}">
      <formula1>적합여부</formula1>
    </dataValidation>
  </dataValidations>
  <printOptions horizontalCentered="1"/>
  <pageMargins left="0.31496062992125984" right="0.31496062992125984" top="0.35433070866141736" bottom="0.43307086614173229" header="0.19685039370078741" footer="0.19685039370078741"/>
  <pageSetup paperSize="9" orientation="portrait" r:id="rId1"/>
  <headerFooter alignWithMargins="0">
    <oddHeader>&amp;C
&amp;G</oddHeader>
    <oddFooter>&amp;L&amp;"굴림체,보통"&amp;9fKET-A-QP-17-02-02(0)&amp;R&amp;G</oddFooter>
  </headerFooter>
  <drawing r:id="rId2"/>
  <legacyDrawing r:id="rId3"/>
  <legacyDrawingHF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R47"/>
  <sheetViews>
    <sheetView view="pageBreakPreview" zoomScaleNormal="100" zoomScaleSheetLayoutView="100" workbookViewId="0">
      <selection activeCell="L9" sqref="L9:O9"/>
    </sheetView>
  </sheetViews>
  <sheetFormatPr defaultColWidth="9" defaultRowHeight="13.5"/>
  <cols>
    <col min="1" max="5" width="4" style="569" customWidth="1"/>
    <col min="6" max="7" width="4.625" style="569" customWidth="1"/>
    <col min="8" max="10" width="4" style="569" customWidth="1"/>
    <col min="11" max="11" width="4.5" style="569" customWidth="1"/>
    <col min="12" max="12" width="5.125" style="569" customWidth="1"/>
    <col min="13" max="13" width="5.25" style="569" customWidth="1"/>
    <col min="14" max="15" width="4" style="569" customWidth="1"/>
    <col min="16" max="16" width="4.125" style="569" customWidth="1"/>
    <col min="17" max="17" width="4.25" style="569" customWidth="1"/>
    <col min="18" max="18" width="4.375" style="569" customWidth="1"/>
    <col min="19" max="19" width="4" style="569" customWidth="1"/>
    <col min="20" max="21" width="4.625" style="569" customWidth="1"/>
    <col min="22" max="22" width="9" style="569" customWidth="1"/>
    <col min="23" max="23" width="8.875" style="569" customWidth="1"/>
    <col min="24" max="25" width="4.125" style="569" customWidth="1"/>
    <col min="26" max="26" width="3.75" style="569" customWidth="1"/>
    <col min="27" max="27" width="6.375" style="569" customWidth="1"/>
    <col min="28" max="42" width="3.75" style="569" customWidth="1"/>
    <col min="43" max="43" width="8.75" style="569" customWidth="1"/>
    <col min="44" max="61" width="3.75" style="569" customWidth="1"/>
    <col min="62" max="16384" width="9" style="569"/>
  </cols>
  <sheetData>
    <row r="1" spans="1:44" ht="27.95" customHeight="1" thickBot="1">
      <c r="A1" s="2152" t="s">
        <v>183</v>
      </c>
      <c r="B1" s="2152"/>
      <c r="C1" s="2152"/>
      <c r="D1" s="2152"/>
      <c r="E1" s="2152"/>
      <c r="F1" s="2152"/>
      <c r="G1" s="2152"/>
      <c r="H1" s="2152"/>
      <c r="I1" s="2152"/>
      <c r="J1" s="2152"/>
      <c r="K1" s="2152"/>
      <c r="L1" s="2152"/>
      <c r="M1" s="2152"/>
      <c r="N1" s="2152"/>
      <c r="O1" s="2152"/>
      <c r="P1" s="2152"/>
      <c r="Q1" s="2152"/>
      <c r="R1" s="2152"/>
      <c r="S1" s="2152"/>
      <c r="T1" s="2152"/>
      <c r="U1" s="2152"/>
      <c r="V1" s="2152"/>
      <c r="W1" s="2152"/>
      <c r="X1" s="568"/>
      <c r="Y1" s="568"/>
      <c r="Z1" s="568"/>
    </row>
    <row r="2" spans="1:44" ht="20.25" customHeight="1" thickBot="1">
      <c r="A2" s="570"/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2161" t="s">
        <v>613</v>
      </c>
      <c r="U2" s="2162"/>
      <c r="V2" s="571">
        <f>'먼지측정 사전 Data'!O4</f>
        <v>0</v>
      </c>
      <c r="W2" s="572" t="str">
        <f>IF('먼지측정 사전 Data'!P4="","",'먼지측정 사전 Data'!P4)</f>
        <v/>
      </c>
      <c r="X2" s="568"/>
      <c r="Y2" s="568"/>
      <c r="Z2" s="568" t="s">
        <v>778</v>
      </c>
    </row>
    <row r="3" spans="1:44" ht="20.25" customHeight="1" thickBot="1">
      <c r="A3" s="2153" t="s">
        <v>421</v>
      </c>
      <c r="B3" s="2154"/>
      <c r="C3" s="2154"/>
      <c r="D3" s="2154"/>
      <c r="E3" s="2154">
        <f>'대기측정 분석결과서'!E4</f>
        <v>0</v>
      </c>
      <c r="F3" s="2154"/>
      <c r="G3" s="2154"/>
      <c r="H3" s="2154"/>
      <c r="I3" s="2154"/>
      <c r="J3" s="2154" t="s">
        <v>359</v>
      </c>
      <c r="K3" s="2154"/>
      <c r="L3" s="2154"/>
      <c r="M3" s="2154"/>
      <c r="N3" s="2154"/>
      <c r="O3" s="2154"/>
      <c r="P3" s="2155" t="s">
        <v>445</v>
      </c>
      <c r="Q3" s="2156"/>
      <c r="R3" s="2156"/>
      <c r="S3" s="2157">
        <f>'먼지측정 사전 Data'!L8</f>
        <v>0</v>
      </c>
      <c r="T3" s="2158"/>
      <c r="U3" s="2159" t="s">
        <v>372</v>
      </c>
      <c r="V3" s="2160"/>
      <c r="W3" s="573">
        <f>'먼지측정 사전 Data'!N8</f>
        <v>0</v>
      </c>
      <c r="X3" s="574"/>
      <c r="Y3" s="574"/>
      <c r="Z3" s="574" t="s">
        <v>524</v>
      </c>
    </row>
    <row r="4" spans="1:44" ht="20.25" customHeight="1" thickTop="1" thickBot="1">
      <c r="A4" s="2079" t="s">
        <v>420</v>
      </c>
      <c r="B4" s="1650"/>
      <c r="C4" s="1650"/>
      <c r="D4" s="1650"/>
      <c r="E4" s="1650">
        <f>'대기측정 분석결과서'!E9</f>
        <v>0</v>
      </c>
      <c r="F4" s="1650"/>
      <c r="G4" s="1650"/>
      <c r="H4" s="1650"/>
      <c r="I4" s="1650"/>
      <c r="J4" s="575"/>
      <c r="K4" s="576"/>
      <c r="L4" s="577"/>
      <c r="M4" s="576"/>
      <c r="N4" s="576"/>
      <c r="O4" s="575"/>
      <c r="P4" s="2148" t="s">
        <v>548</v>
      </c>
      <c r="Q4" s="2149"/>
      <c r="R4" s="2149"/>
      <c r="S4" s="2062">
        <f>'먼지측정 사전 Data'!O8</f>
        <v>0</v>
      </c>
      <c r="T4" s="1659"/>
      <c r="U4" s="1658" t="s">
        <v>549</v>
      </c>
      <c r="V4" s="2062"/>
      <c r="W4" s="578">
        <f>'먼지측정 사전 Data'!J8</f>
        <v>0</v>
      </c>
      <c r="X4" s="574"/>
      <c r="Y4" s="574"/>
      <c r="Z4" s="574" t="s">
        <v>611</v>
      </c>
      <c r="AC4" s="1824"/>
      <c r="AD4" s="1824"/>
      <c r="AE4" s="1824"/>
      <c r="AF4" s="1824"/>
      <c r="AG4" s="1824"/>
      <c r="AH4" s="1824"/>
      <c r="AI4" s="1824"/>
      <c r="AJ4" s="1824"/>
      <c r="AK4" s="1824"/>
      <c r="AL4" s="1824"/>
      <c r="AM4" s="1824"/>
      <c r="AN4" s="1824"/>
      <c r="AO4" s="1824"/>
      <c r="AP4" s="1824"/>
      <c r="AQ4" s="579"/>
      <c r="AR4" s="579"/>
    </row>
    <row r="5" spans="1:44" ht="20.25" customHeight="1" thickTop="1" thickBot="1">
      <c r="A5" s="2079" t="s">
        <v>419</v>
      </c>
      <c r="B5" s="1650"/>
      <c r="C5" s="1650"/>
      <c r="D5" s="1650"/>
      <c r="E5" s="1650">
        <f>'대기측정 분석결과서'!H13</f>
        <v>0</v>
      </c>
      <c r="F5" s="1650"/>
      <c r="G5" s="1650"/>
      <c r="H5" s="1650"/>
      <c r="I5" s="1650"/>
      <c r="J5" s="580"/>
      <c r="K5" s="576"/>
      <c r="L5" s="577"/>
      <c r="M5" s="576"/>
      <c r="N5" s="576"/>
      <c r="O5" s="580"/>
      <c r="P5" s="2148" t="s">
        <v>547</v>
      </c>
      <c r="Q5" s="2149"/>
      <c r="R5" s="2149"/>
      <c r="S5" s="2089">
        <f>'먼지측정 사전 Data'!P8</f>
        <v>0</v>
      </c>
      <c r="T5" s="2090"/>
      <c r="U5" s="1687" t="s">
        <v>365</v>
      </c>
      <c r="V5" s="2150"/>
      <c r="W5" s="581">
        <f>'먼지측정 사전 Data'!H65</f>
        <v>0</v>
      </c>
      <c r="X5" s="574"/>
      <c r="Y5" s="574"/>
      <c r="Z5" s="574" t="s">
        <v>610</v>
      </c>
      <c r="AC5" s="1824" t="s">
        <v>609</v>
      </c>
      <c r="AD5" s="1824"/>
      <c r="AE5" s="1824" t="s">
        <v>631</v>
      </c>
      <c r="AF5" s="1824"/>
      <c r="AG5" s="1824" t="s">
        <v>632</v>
      </c>
      <c r="AH5" s="1824"/>
      <c r="AI5" s="1824" t="s">
        <v>740</v>
      </c>
      <c r="AJ5" s="1824"/>
      <c r="AK5" s="1824" t="s">
        <v>883</v>
      </c>
      <c r="AL5" s="1824"/>
      <c r="AM5" s="1824" t="s">
        <v>1070</v>
      </c>
      <c r="AN5" s="1824"/>
      <c r="AO5" s="1824" t="s">
        <v>1071</v>
      </c>
      <c r="AP5" s="1824"/>
      <c r="AQ5" s="582" t="s">
        <v>1072</v>
      </c>
      <c r="AR5" s="579"/>
    </row>
    <row r="6" spans="1:44" ht="20.25" customHeight="1" thickTop="1" thickBot="1">
      <c r="A6" s="2079" t="s">
        <v>418</v>
      </c>
      <c r="B6" s="1650"/>
      <c r="C6" s="1650"/>
      <c r="D6" s="1650"/>
      <c r="E6" s="2151">
        <f>'대기측정 분석결과서'!Z1</f>
        <v>0</v>
      </c>
      <c r="F6" s="2151"/>
      <c r="G6" s="2151"/>
      <c r="H6" s="2151"/>
      <c r="I6" s="2151"/>
      <c r="J6" s="580"/>
      <c r="K6" s="576"/>
      <c r="L6" s="577"/>
      <c r="M6" s="576"/>
      <c r="N6" s="576"/>
      <c r="O6" s="580"/>
      <c r="P6" s="1658" t="s">
        <v>371</v>
      </c>
      <c r="Q6" s="2062"/>
      <c r="R6" s="2062"/>
      <c r="S6" s="2062"/>
      <c r="T6" s="2062"/>
      <c r="U6" s="2062"/>
      <c r="V6" s="2089">
        <f>'먼지측정 사전 Data'!H20</f>
        <v>0</v>
      </c>
      <c r="W6" s="2121"/>
      <c r="X6" s="574"/>
      <c r="Y6" s="574"/>
      <c r="Z6" s="574" t="s">
        <v>1234</v>
      </c>
      <c r="AC6" s="1813"/>
      <c r="AD6" s="1813"/>
      <c r="AE6" s="1813"/>
      <c r="AF6" s="1813"/>
      <c r="AG6" s="1813"/>
      <c r="AH6" s="1813"/>
      <c r="AI6" s="1813"/>
      <c r="AJ6" s="1813"/>
      <c r="AK6" s="1813"/>
      <c r="AL6" s="1813"/>
      <c r="AM6" s="1813"/>
      <c r="AN6" s="1813"/>
      <c r="AO6" s="1813"/>
      <c r="AP6" s="1813"/>
      <c r="AQ6" s="583"/>
      <c r="AR6" s="583"/>
    </row>
    <row r="7" spans="1:44" ht="20.25" customHeight="1" thickTop="1" thickBot="1">
      <c r="A7" s="2079" t="s">
        <v>417</v>
      </c>
      <c r="B7" s="1650"/>
      <c r="C7" s="1650"/>
      <c r="D7" s="1650"/>
      <c r="E7" s="584" t="str">
        <f>IF('먼지측정 사전 Data'!H6&lt;10,"0"&amp;'먼지측정 사전 Data'!H6,'먼지측정 사전 Data'!H6)</f>
        <v>0</v>
      </c>
      <c r="F7" s="585" t="str">
        <f>IF('먼지측정 사전 Data'!I6&lt;10," :  0"&amp;'먼지측정 사전 Data'!I6," : "&amp;'먼지측정 사전 Data'!I6)</f>
        <v xml:space="preserve"> :  0</v>
      </c>
      <c r="G7" s="586" t="s">
        <v>741</v>
      </c>
      <c r="H7" s="587" t="str">
        <f>IF('먼지측정 사전 Data'!K6&lt;10,"0"&amp;'먼지측정 사전 Data'!K6&amp;"  :",'먼지측정 사전 Data'!K6&amp;"  :")</f>
        <v>0  :</v>
      </c>
      <c r="I7" s="588" t="str">
        <f>IF('먼지측정 사전 Data'!L6&lt;10,"0"&amp;'먼지측정 사전 Data'!L6,'먼지측정 사전 Data'!L6)</f>
        <v>0</v>
      </c>
      <c r="J7" s="589"/>
      <c r="K7" s="576"/>
      <c r="L7" s="577"/>
      <c r="M7" s="576"/>
      <c r="N7" s="576"/>
      <c r="O7" s="590"/>
      <c r="P7" s="2138" t="s">
        <v>366</v>
      </c>
      <c r="Q7" s="2139"/>
      <c r="R7" s="2062">
        <f>'먼지측정 사전 Data'!H63</f>
        <v>0</v>
      </c>
      <c r="S7" s="2062"/>
      <c r="T7" s="1659"/>
      <c r="U7" s="591" t="s">
        <v>367</v>
      </c>
      <c r="V7" s="2140">
        <f>'먼지측정 사전 Data'!H64</f>
        <v>0</v>
      </c>
      <c r="W7" s="2141"/>
      <c r="X7" s="574"/>
      <c r="Y7" s="574"/>
      <c r="Z7" s="574" t="s">
        <v>1235</v>
      </c>
      <c r="AC7" s="1813"/>
      <c r="AD7" s="1813"/>
      <c r="AE7" s="1813"/>
      <c r="AF7" s="1813"/>
      <c r="AG7" s="1813"/>
      <c r="AH7" s="1813"/>
      <c r="AI7" s="1813"/>
      <c r="AJ7" s="1813"/>
      <c r="AK7" s="1813"/>
      <c r="AL7" s="1813"/>
      <c r="AM7" s="1813"/>
      <c r="AN7" s="1813"/>
      <c r="AO7" s="1813"/>
      <c r="AP7" s="1813"/>
      <c r="AQ7" s="592"/>
      <c r="AR7" s="592"/>
    </row>
    <row r="8" spans="1:44" ht="20.25" customHeight="1" thickTop="1">
      <c r="A8" s="2079" t="s">
        <v>433</v>
      </c>
      <c r="B8" s="1650"/>
      <c r="C8" s="1650"/>
      <c r="D8" s="1650"/>
      <c r="E8" s="2145" t="e">
        <f>IF('먼지측정 사전 Data'!D31&gt;0,
    TEXT('먼지측정 사전 Data'!D31, "0.000"),
    TEXT(VALUE(TRIM(CLEAN('먼지측정 사전 Data'!D33))), "0.000") &amp; " X " &amp; TEXT(VALUE(TRIM(CLEAN('먼지측정 사전 Data'!E33))), "0.000")
)</f>
        <v>#VALUE!</v>
      </c>
      <c r="F8" s="2145"/>
      <c r="G8" s="2145"/>
      <c r="H8" s="2145"/>
      <c r="I8" s="2145"/>
      <c r="J8" s="1650" t="s">
        <v>435</v>
      </c>
      <c r="K8" s="1650"/>
      <c r="L8" s="1650"/>
      <c r="M8" s="1650"/>
      <c r="N8" s="1650"/>
      <c r="O8" s="1650"/>
      <c r="P8" s="1658" t="s">
        <v>551</v>
      </c>
      <c r="Q8" s="2062"/>
      <c r="R8" s="2062"/>
      <c r="S8" s="2062"/>
      <c r="T8" s="2062"/>
      <c r="U8" s="2146" t="str">
        <f>IF(COUNT('먼지측정 사전 Data'!H72)=0,"-",ROUND('먼지측정 사전 Data'!L94,3))</f>
        <v>-</v>
      </c>
      <c r="V8" s="2146"/>
      <c r="W8" s="593" t="s">
        <v>550</v>
      </c>
      <c r="X8" s="574"/>
      <c r="Y8" s="574"/>
      <c r="Z8" s="574"/>
    </row>
    <row r="9" spans="1:44" ht="20.25" customHeight="1">
      <c r="A9" s="2079" t="s">
        <v>434</v>
      </c>
      <c r="B9" s="1650"/>
      <c r="C9" s="1650"/>
      <c r="D9" s="1650"/>
      <c r="E9" s="2147">
        <f>'먼지측정 사전 Data'!K31</f>
        <v>0</v>
      </c>
      <c r="F9" s="2147"/>
      <c r="G9" s="2147"/>
      <c r="H9" s="2147"/>
      <c r="I9" s="2147"/>
      <c r="J9" s="1650" t="s">
        <v>360</v>
      </c>
      <c r="K9" s="1650"/>
      <c r="L9" s="1661">
        <f>IF('먼지측정 사전 Data'!D31=0,'먼지측정 사전 Data'!E33*50,IF(AND('먼지측정 사전 Data'!D31&gt;0,'먼지측정 사전 Data'!D31&lt;0.5641),'먼지측정 사전 Data'!D39*100,(IF(AND('먼지측정 사전 Data'!D31&gt;0.564,'먼지측정 사전 Data'!D31&lt;=1),'먼지측정 사전 Data'!D40*100,(IF(AND('먼지측정 사전 Data'!D31&gt;1,'먼지측정 사전 Data'!D31&lt;=2),'먼지측정 사전 Data'!D41*100,IF(AND('먼지측정 사전 Data'!D31&gt;2,'먼지측정 사전 Data'!D31&lt;=4),'먼지측정 사전 Data'!D42*100,IF(AND('먼지측정 사전 Data'!D31&gt;4,'먼지측정 사전 Data'!D31&lt;=4.5),'먼지측정 사전 Data'!D43*100,IF('먼지측정 사전 Data'!D31&gt;4.5,'먼지측정 사전 Data'!D44*100,"")))))))))</f>
        <v>0</v>
      </c>
      <c r="M9" s="1661"/>
      <c r="N9" s="1661"/>
      <c r="O9" s="1661"/>
      <c r="P9" s="1658" t="s">
        <v>446</v>
      </c>
      <c r="Q9" s="2062"/>
      <c r="R9" s="2062"/>
      <c r="S9" s="2089">
        <f>'먼지측정 사전 Data'!H14</f>
        <v>0</v>
      </c>
      <c r="T9" s="2090"/>
      <c r="U9" s="2142" t="s">
        <v>422</v>
      </c>
      <c r="V9" s="2143"/>
      <c r="W9" s="594">
        <f>'먼지측정 사전 Data'!H16</f>
        <v>0</v>
      </c>
      <c r="X9" s="574"/>
      <c r="Y9" s="574"/>
      <c r="Z9" s="574"/>
    </row>
    <row r="10" spans="1:44" ht="20.25" customHeight="1">
      <c r="A10" s="2079" t="s">
        <v>358</v>
      </c>
      <c r="B10" s="1650"/>
      <c r="C10" s="1650"/>
      <c r="D10" s="1650"/>
      <c r="E10" s="2144" t="str">
        <f>IF(COUNT('먼지측정 사전 Data'!H72)=0,"-","측정 "&amp;'먼지측정 사전 Data'!A95&amp;" , "&amp;"바탕 "&amp;'먼지측정 사전 Data'!A97)</f>
        <v>-</v>
      </c>
      <c r="F10" s="2144"/>
      <c r="G10" s="2144"/>
      <c r="H10" s="2144"/>
      <c r="I10" s="2144"/>
      <c r="J10" s="1650" t="s">
        <v>361</v>
      </c>
      <c r="K10" s="1650"/>
      <c r="L10" s="1661" t="str">
        <f>IF('먼지측정 사전 Data'!D31&lt;=1,"",IF(AND('먼지측정 사전 Data'!D31&gt;0.564,'먼지측정 사전 Data'!D31&lt;=1),'먼지측정 사전 Data'!F40*100,(IF(AND('먼지측정 사전 Data'!D31&gt;1,'먼지측정 사전 Data'!D31&lt;=2),'먼지측정 사전 Data'!F41*100,IF(AND('먼지측정 사전 Data'!D31&gt;2,'먼지측정 사전 Data'!D31&lt;=4),'먼지측정 사전 Data'!F42*100,IF(AND('먼지측정 사전 Data'!D31&gt;4,'먼지측정 사전 Data'!D31&lt;=4.5),'먼지측정 사전 Data'!F43*100,IF('먼지측정 사전 Data'!D31&gt;4.5,'먼지측정 사전 Data'!F44*100,0)))))))</f>
        <v/>
      </c>
      <c r="M10" s="1661"/>
      <c r="N10" s="1661"/>
      <c r="O10" s="1661"/>
      <c r="P10" s="595" t="s">
        <v>606</v>
      </c>
      <c r="Q10" s="596"/>
      <c r="R10" s="597"/>
      <c r="S10" s="2062" t="str">
        <f>IF(COUNT('먼지측정 사전 Data'!H72)=0,"-",(VLOOKUP(R7,'피토관,노즐표'!G38:H44,2,FALSE)))</f>
        <v>-</v>
      </c>
      <c r="T10" s="1659"/>
      <c r="U10" s="2062" t="s">
        <v>370</v>
      </c>
      <c r="V10" s="2062"/>
      <c r="W10" s="598" t="e">
        <f>'먼지측정 사전 Data'!U71</f>
        <v>#DIV/0!</v>
      </c>
      <c r="X10" s="574"/>
      <c r="Y10" s="574"/>
      <c r="Z10" s="574" t="s">
        <v>38</v>
      </c>
    </row>
    <row r="11" spans="1:44" ht="20.25" customHeight="1">
      <c r="A11" s="2079" t="s">
        <v>374</v>
      </c>
      <c r="B11" s="1650"/>
      <c r="C11" s="1650"/>
      <c r="D11" s="1650"/>
      <c r="E11" s="1689" t="s">
        <v>959</v>
      </c>
      <c r="F11" s="2120"/>
      <c r="G11" s="2120"/>
      <c r="H11" s="2120" t="s">
        <v>459</v>
      </c>
      <c r="I11" s="1690"/>
      <c r="J11" s="1650" t="s">
        <v>362</v>
      </c>
      <c r="K11" s="1650"/>
      <c r="L11" s="1661" t="str">
        <f>IF('먼지측정 사전 Data'!D31&lt;=2,"",IF(AND('먼지측정 사전 Data'!D31&gt;0.564,'먼지측정 사전 Data'!D31&lt;=1),'먼지측정 사전 Data'!I40*100,(IF(AND('먼지측정 사전 Data'!D31&gt;1,'먼지측정 사전 Data'!D31&lt;=2),'먼지측정 사전 Data'!I41*100,IF(AND('먼지측정 사전 Data'!D31&gt;2,'먼지측정 사전 Data'!D31&lt;=4),'먼지측정 사전 Data'!I42*100,IF(AND('먼지측정 사전 Data'!D31&gt;4,'먼지측정 사전 Data'!D31&lt;=4.5),'먼지측정 사전 Data'!I43*100,IF('먼지측정 사전 Data'!D31&gt;4.5,'먼지측정 사전 Data'!I44*100,0)))))))</f>
        <v/>
      </c>
      <c r="M11" s="1661"/>
      <c r="N11" s="1661"/>
      <c r="O11" s="1661"/>
      <c r="P11" s="1658" t="s">
        <v>368</v>
      </c>
      <c r="Q11" s="2062"/>
      <c r="R11" s="2062"/>
      <c r="S11" s="2062"/>
      <c r="T11" s="2062"/>
      <c r="U11" s="2086" t="str">
        <f>IF(COUNT('먼지측정 사전 Data'!H72)=0,"-",'먼지측정 사전 Data'!R84*10)</f>
        <v>-</v>
      </c>
      <c r="V11" s="2086"/>
      <c r="W11" s="2119"/>
      <c r="X11" s="574"/>
      <c r="Y11" s="574"/>
      <c r="Z11" s="574" t="s">
        <v>2</v>
      </c>
    </row>
    <row r="12" spans="1:44" ht="13.35" customHeight="1">
      <c r="A12" s="2115" t="s">
        <v>413</v>
      </c>
      <c r="B12" s="2125"/>
      <c r="C12" s="2125"/>
      <c r="D12" s="2116"/>
      <c r="E12" s="2057">
        <f>'대기측정 분석결과서'!U7</f>
        <v>0</v>
      </c>
      <c r="F12" s="2058"/>
      <c r="G12" s="2058"/>
      <c r="H12" s="2059" t="s">
        <v>459</v>
      </c>
      <c r="I12" s="2060"/>
      <c r="J12" s="2117" t="s">
        <v>363</v>
      </c>
      <c r="K12" s="2116"/>
      <c r="L12" s="2128" t="str">
        <f>IF('먼지측정 사전 Data'!D31&lt;=4,"",IF(AND('먼지측정 사전 Data'!D31&gt;0.564,'먼지측정 사전 Data'!D31&lt;=1),'먼지측정 사전 Data'!K40*100,(IF(AND('먼지측정 사전 Data'!D31&gt;1,'먼지측정 사전 Data'!D31&lt;=2),'먼지측정 사전 Data'!K41*100,IF(AND('먼지측정 사전 Data'!D31&gt;2,'먼지측정 사전 Data'!D31&lt;=4),'먼지측정 사전 Data'!K42*100,IF(AND('먼지측정 사전 Data'!D31&gt;4,'먼지측정 사전 Data'!D31&lt;=4.5),'먼지측정 사전 Data'!K43*100,IF('먼지측정 사전 Data'!D31&gt;4.5,'먼지측정 사전 Data'!K44*100,0)))))))</f>
        <v/>
      </c>
      <c r="M12" s="2129"/>
      <c r="N12" s="2129"/>
      <c r="O12" s="2130"/>
      <c r="P12" s="2117" t="s">
        <v>369</v>
      </c>
      <c r="Q12" s="2125"/>
      <c r="R12" s="2125"/>
      <c r="S12" s="2125"/>
      <c r="T12" s="2125"/>
      <c r="U12" s="2134" t="str">
        <f>IF(COUNT('먼지측정 사전 Data'!H72)=0,"-",'먼지측정 사전 Data'!U84)</f>
        <v>-</v>
      </c>
      <c r="V12" s="2134"/>
      <c r="W12" s="2135"/>
      <c r="X12" s="574"/>
      <c r="Y12" s="574"/>
      <c r="Z12" s="574"/>
    </row>
    <row r="13" spans="1:44" ht="13.35" customHeight="1">
      <c r="A13" s="2126"/>
      <c r="B13" s="2127"/>
      <c r="C13" s="2127"/>
      <c r="D13" s="2112"/>
      <c r="E13" s="2057">
        <f>IF('한종_측정기록부 (사용X)'!Q19="외 1명    (인)","-",'대기측정 분석결과서'!X7)</f>
        <v>0</v>
      </c>
      <c r="F13" s="2058"/>
      <c r="G13" s="2058"/>
      <c r="H13" s="2059" t="str">
        <f>IF('한종_측정기록부 (사용X)'!Q19="외 1명    (인)","-","(서명)")</f>
        <v>(서명)</v>
      </c>
      <c r="I13" s="2060"/>
      <c r="J13" s="2113"/>
      <c r="K13" s="2112"/>
      <c r="L13" s="2131"/>
      <c r="M13" s="2132"/>
      <c r="N13" s="2132"/>
      <c r="O13" s="2133"/>
      <c r="P13" s="2113"/>
      <c r="Q13" s="2127"/>
      <c r="R13" s="2127"/>
      <c r="S13" s="2127"/>
      <c r="T13" s="2127"/>
      <c r="U13" s="2136"/>
      <c r="V13" s="2136"/>
      <c r="W13" s="2137"/>
      <c r="X13" s="574"/>
      <c r="Y13" s="574"/>
      <c r="Z13" s="574"/>
    </row>
    <row r="14" spans="1:44" ht="21.95" customHeight="1">
      <c r="A14" s="2061" t="s">
        <v>605</v>
      </c>
      <c r="B14" s="2062"/>
      <c r="C14" s="2062"/>
      <c r="D14" s="1659"/>
      <c r="E14" s="2065" t="s">
        <v>953</v>
      </c>
      <c r="F14" s="2063"/>
      <c r="G14" s="2063"/>
      <c r="H14" s="2063" t="s">
        <v>459</v>
      </c>
      <c r="I14" s="2064"/>
      <c r="J14" s="1650" t="s">
        <v>364</v>
      </c>
      <c r="K14" s="1650"/>
      <c r="L14" s="1661" t="str">
        <f>IF('먼지측정 사전 Data'!D31&lt;=4.5,"",'먼지측정 사전 Data'!M44*100)</f>
        <v/>
      </c>
      <c r="M14" s="1661"/>
      <c r="N14" s="1661"/>
      <c r="O14" s="1661"/>
      <c r="P14" s="1658" t="s">
        <v>373</v>
      </c>
      <c r="Q14" s="2062"/>
      <c r="R14" s="2062"/>
      <c r="S14" s="2062"/>
      <c r="T14" s="2062"/>
      <c r="U14" s="2089" t="str">
        <f>IF(COUNT('먼지측정 사전 Data'!H72)=0,"-",'먼지측정 사전 Data'!R87)</f>
        <v>-</v>
      </c>
      <c r="V14" s="2089"/>
      <c r="W14" s="2121"/>
      <c r="X14" s="574"/>
      <c r="Y14" s="574"/>
      <c r="Z14" s="574">
        <v>15</v>
      </c>
    </row>
    <row r="15" spans="1:44" ht="21" customHeight="1">
      <c r="A15" s="2122" t="s">
        <v>615</v>
      </c>
      <c r="B15" s="2123"/>
      <c r="C15" s="2123"/>
      <c r="D15" s="2123"/>
      <c r="E15" s="2123"/>
      <c r="F15" s="2123"/>
      <c r="G15" s="2123"/>
      <c r="H15" s="2123"/>
      <c r="I15" s="2123"/>
      <c r="J15" s="2123"/>
      <c r="K15" s="2123"/>
      <c r="L15" s="2123"/>
      <c r="M15" s="2123"/>
      <c r="N15" s="2123"/>
      <c r="O15" s="2123"/>
      <c r="P15" s="2123"/>
      <c r="Q15" s="2123"/>
      <c r="R15" s="2123"/>
      <c r="S15" s="2123"/>
      <c r="T15" s="2123"/>
      <c r="U15" s="2123"/>
      <c r="V15" s="2123"/>
      <c r="W15" s="2124"/>
      <c r="X15" s="574"/>
      <c r="Y15" s="574"/>
      <c r="Z15" s="574">
        <v>381</v>
      </c>
    </row>
    <row r="16" spans="1:44" ht="0.95" customHeight="1">
      <c r="A16" s="599"/>
      <c r="B16" s="600"/>
      <c r="C16" s="600"/>
      <c r="D16" s="600"/>
      <c r="E16" s="600"/>
      <c r="F16" s="600"/>
      <c r="G16" s="600"/>
      <c r="H16" s="600"/>
      <c r="I16" s="600"/>
      <c r="J16" s="600"/>
      <c r="K16" s="600"/>
      <c r="L16" s="600"/>
      <c r="M16" s="600"/>
      <c r="N16" s="600"/>
      <c r="O16" s="600"/>
      <c r="P16" s="600"/>
      <c r="Q16" s="600"/>
      <c r="R16" s="600"/>
      <c r="S16" s="600"/>
      <c r="T16" s="600"/>
      <c r="U16" s="600"/>
      <c r="V16" s="600"/>
      <c r="W16" s="601"/>
      <c r="X16" s="574"/>
      <c r="Y16" s="574"/>
      <c r="Z16" s="574"/>
    </row>
    <row r="17" spans="1:31" ht="27" customHeight="1">
      <c r="A17" s="2115" t="s">
        <v>376</v>
      </c>
      <c r="B17" s="2116"/>
      <c r="C17" s="2117" t="s">
        <v>378</v>
      </c>
      <c r="D17" s="2116"/>
      <c r="E17" s="2117" t="s">
        <v>380</v>
      </c>
      <c r="F17" s="2116"/>
      <c r="G17" s="2117" t="s">
        <v>184</v>
      </c>
      <c r="H17" s="2116"/>
      <c r="I17" s="2117" t="s">
        <v>184</v>
      </c>
      <c r="J17" s="2116"/>
      <c r="K17" s="1658" t="s">
        <v>400</v>
      </c>
      <c r="L17" s="2062"/>
      <c r="M17" s="1659"/>
      <c r="N17" s="2117" t="s">
        <v>88</v>
      </c>
      <c r="O17" s="2116"/>
      <c r="P17" s="2117" t="s">
        <v>185</v>
      </c>
      <c r="Q17" s="2116"/>
      <c r="R17" s="2105" t="s">
        <v>389</v>
      </c>
      <c r="S17" s="2118"/>
      <c r="T17" s="2105" t="s">
        <v>412</v>
      </c>
      <c r="U17" s="2106"/>
      <c r="V17" s="602" t="s">
        <v>386</v>
      </c>
      <c r="W17" s="603" t="str">
        <f>IF(COUNT('먼지측정 사전 Data'!H72)=0,"",IF('먼지측정 사전 Data'!U78=1,'먼지측정 사전 Data'!H78,'먼지측정 사전 Data'!H78*1000))</f>
        <v/>
      </c>
      <c r="X17" s="574"/>
      <c r="Y17" s="574"/>
      <c r="Z17" s="574"/>
    </row>
    <row r="18" spans="1:31" ht="27" customHeight="1">
      <c r="A18" s="2109" t="s">
        <v>377</v>
      </c>
      <c r="B18" s="2110"/>
      <c r="C18" s="2111" t="s">
        <v>379</v>
      </c>
      <c r="D18" s="2112"/>
      <c r="E18" s="2113" t="s">
        <v>381</v>
      </c>
      <c r="F18" s="2112"/>
      <c r="G18" s="2113" t="s">
        <v>187</v>
      </c>
      <c r="H18" s="2112"/>
      <c r="I18" s="2113" t="s">
        <v>186</v>
      </c>
      <c r="J18" s="2112"/>
      <c r="K18" s="604" t="s">
        <v>382</v>
      </c>
      <c r="L18" s="605" t="s">
        <v>383</v>
      </c>
      <c r="M18" s="605" t="s">
        <v>384</v>
      </c>
      <c r="N18" s="2113"/>
      <c r="O18" s="2112"/>
      <c r="P18" s="2111" t="s">
        <v>385</v>
      </c>
      <c r="Q18" s="2114"/>
      <c r="R18" s="2107"/>
      <c r="S18" s="2108"/>
      <c r="T18" s="2107"/>
      <c r="U18" s="2108"/>
      <c r="V18" s="606" t="s">
        <v>387</v>
      </c>
      <c r="W18" s="607" t="str">
        <f>IF('먼지측정 사전 Data'!U78=1,"채취량(Ft3)","채취량(L)")</f>
        <v>채취량(L)</v>
      </c>
      <c r="X18" s="574"/>
      <c r="Y18" s="574"/>
      <c r="Z18" s="574"/>
    </row>
    <row r="19" spans="1:31" ht="19.5" customHeight="1">
      <c r="A19" s="2061" t="s">
        <v>390</v>
      </c>
      <c r="B19" s="2103"/>
      <c r="C19" s="1711" t="str">
        <f>IF(COUNT('먼지측정 사전 Data'!H72)=0,"",'먼지측정 사전 Data'!H75)</f>
        <v/>
      </c>
      <c r="D19" s="1712"/>
      <c r="E19" s="1711" t="str">
        <f>IF(COUNT('먼지측정 사전 Data'!H72)=0,"",'먼지측정 사전 Data'!H88)</f>
        <v/>
      </c>
      <c r="F19" s="1712"/>
      <c r="G19" s="1718">
        <f>'먼지측정 사전 Data'!H71</f>
        <v>0</v>
      </c>
      <c r="H19" s="1719"/>
      <c r="I19" s="1718">
        <f>'먼지측정 사전 Data'!H70</f>
        <v>0</v>
      </c>
      <c r="J19" s="1719"/>
      <c r="K19" s="608">
        <f>'먼지측정 사전 Data'!H69</f>
        <v>0</v>
      </c>
      <c r="L19" s="608" t="str">
        <f>IF(COUNT('먼지측정 사전 Data'!H72)=0,"",'먼지측정 사전 Data'!H72)</f>
        <v/>
      </c>
      <c r="M19" s="608" t="str">
        <f>IF(COUNT('먼지측정 사전 Data'!H72)=0,"",'먼지측정 사전 Data'!H73)</f>
        <v/>
      </c>
      <c r="N19" s="1720" t="str">
        <f>IF(COUNT('먼지측정 사전 Data'!H72)=0,"",'먼지측정 사전 Data'!H85)</f>
        <v/>
      </c>
      <c r="O19" s="1720"/>
      <c r="P19" s="1721" t="str">
        <f>IF(COUNT('먼지측정 사전 Data'!H72)=0,"",'먼지측정 사전 Data'!H86)</f>
        <v/>
      </c>
      <c r="Q19" s="1722"/>
      <c r="R19" s="1713" t="str">
        <f>IF(COUNT('먼지측정 사전 Data'!H72)=0,"",'먼지측정 사전 Data'!H69)</f>
        <v/>
      </c>
      <c r="S19" s="1714"/>
      <c r="T19" s="1713" t="str">
        <f>IF(COUNT('먼지측정 사전 Data'!H72)=0,"",'먼지측정 사전 Data'!H89)</f>
        <v/>
      </c>
      <c r="U19" s="1714"/>
      <c r="V19" s="609" t="str">
        <f>IF(COUNT('먼지측정 사전 Data'!H72)=0,"",IF('먼지측정 사전 Data'!U78=1,'먼지측정 사전 Data'!H79,'먼지측정 사전 Data'!H79*1000))</f>
        <v/>
      </c>
      <c r="W19" s="610" t="str">
        <f>IF(COUNT('먼지측정 사전 Data'!H72)=0,"",IF('먼지측정 사전 Data'!U78=1,(V19-W17),'먼지측정 사전 Data'!H80*1000))</f>
        <v/>
      </c>
      <c r="X19" s="574"/>
      <c r="Y19" s="574"/>
      <c r="Z19" s="574"/>
    </row>
    <row r="20" spans="1:31" ht="22.5" customHeight="1">
      <c r="A20" s="2061" t="s">
        <v>391</v>
      </c>
      <c r="B20" s="2103"/>
      <c r="C20" s="1713" t="str">
        <f>IF(COUNT('먼지측정 사전 Data'!J72)=0,"",'먼지측정 사전 Data'!J75)</f>
        <v/>
      </c>
      <c r="D20" s="1714"/>
      <c r="E20" s="1713" t="str">
        <f>IF(COUNT('먼지측정 사전 Data'!J72)=0,"",'먼지측정 사전 Data'!J88)</f>
        <v/>
      </c>
      <c r="F20" s="1714"/>
      <c r="G20" s="1689" t="str">
        <f>IF(COUNT('먼지측정 사전 Data'!J70)=0,"",'먼지측정 사전 Data'!J71)</f>
        <v/>
      </c>
      <c r="H20" s="1690"/>
      <c r="I20" s="1689" t="str">
        <f>IF(COUNT('먼지측정 사전 Data'!J70)=0,"",'먼지측정 사전 Data'!J70)</f>
        <v/>
      </c>
      <c r="J20" s="1690"/>
      <c r="K20" s="611" t="str">
        <f>IF(COUNT('먼지측정 사전 Data'!J70)=0,"",'먼지측정 사전 Data'!J69)</f>
        <v/>
      </c>
      <c r="L20" s="611" t="str">
        <f>IF(COUNT('먼지측정 사전 Data'!J72)=0,"",'먼지측정 사전 Data'!J72)</f>
        <v/>
      </c>
      <c r="M20" s="611" t="str">
        <f>IF(COUNT('먼지측정 사전 Data'!J72)=0,"",'먼지측정 사전 Data'!J73)</f>
        <v/>
      </c>
      <c r="N20" s="1715" t="str">
        <f>IF(COUNT('먼지측정 사전 Data'!J72)=0,"",'먼지측정 사전 Data'!J85)</f>
        <v/>
      </c>
      <c r="O20" s="1715"/>
      <c r="P20" s="1687" t="str">
        <f>IF(COUNT('먼지측정 사전 Data'!J72)=0,"",'먼지측정 사전 Data'!J86)</f>
        <v/>
      </c>
      <c r="Q20" s="1688"/>
      <c r="R20" s="1713" t="str">
        <f>IF(COUNT('먼지측정 사전 Data'!J72)=0,"",'먼지측정 사전 Data'!J69)</f>
        <v/>
      </c>
      <c r="S20" s="1714"/>
      <c r="T20" s="1716" t="str">
        <f>IF(COUNT('먼지측정 사전 Data'!J72)=0,"",'먼지측정 사전 Data'!J89)</f>
        <v/>
      </c>
      <c r="U20" s="1717"/>
      <c r="V20" s="609" t="str">
        <f>IF(COUNT('먼지측정 사전 Data'!J72)=0,"",IF('먼지측정 사전 Data'!U78=1,'먼지측정 사전 Data'!J79,'먼지측정 사전 Data'!J79*1000))</f>
        <v/>
      </c>
      <c r="W20" s="610" t="str">
        <f>IF(COUNT('먼지측정 사전 Data'!J72)=0,"",IF('먼지측정 사전 Data'!U78=1,(V20-V19),'먼지측정 사전 Data'!J80*1000))</f>
        <v/>
      </c>
      <c r="X20" s="574"/>
      <c r="Y20" s="574"/>
      <c r="Z20" s="574"/>
    </row>
    <row r="21" spans="1:31" ht="22.5" customHeight="1">
      <c r="A21" s="2061" t="s">
        <v>392</v>
      </c>
      <c r="B21" s="2103"/>
      <c r="C21" s="1711" t="str">
        <f>IF(COUNT('먼지측정 사전 Data'!L72)=0,"",'먼지측정 사전 Data'!L75)</f>
        <v/>
      </c>
      <c r="D21" s="1712"/>
      <c r="E21" s="1713" t="str">
        <f>IF(COUNT('먼지측정 사전 Data'!L72)=0,"",'먼지측정 사전 Data'!L88)</f>
        <v/>
      </c>
      <c r="F21" s="1714"/>
      <c r="G21" s="1689" t="str">
        <f>IF(COUNT('먼지측정 사전 Data'!L70)=0,"",'먼지측정 사전 Data'!L71)</f>
        <v/>
      </c>
      <c r="H21" s="1690"/>
      <c r="I21" s="1689" t="str">
        <f>IF(COUNT('먼지측정 사전 Data'!L70)=0,"",'먼지측정 사전 Data'!L70)</f>
        <v/>
      </c>
      <c r="J21" s="1690"/>
      <c r="K21" s="611" t="str">
        <f>IF(COUNT('먼지측정 사전 Data'!L70)=0,"",'먼지측정 사전 Data'!L69)</f>
        <v/>
      </c>
      <c r="L21" s="611" t="str">
        <f>IF(COUNT('먼지측정 사전 Data'!L72)=0,"",'먼지측정 사전 Data'!L72)</f>
        <v/>
      </c>
      <c r="M21" s="611" t="str">
        <f>IF(COUNT('먼지측정 사전 Data'!L72)=0,"",'먼지측정 사전 Data'!L73)</f>
        <v/>
      </c>
      <c r="N21" s="1715" t="str">
        <f>IF(COUNT('먼지측정 사전 Data'!L72)=0,"",'먼지측정 사전 Data'!L85)</f>
        <v/>
      </c>
      <c r="O21" s="1715"/>
      <c r="P21" s="1687" t="str">
        <f>IF(COUNT('먼지측정 사전 Data'!L72)=0,"",'먼지측정 사전 Data'!L86)</f>
        <v/>
      </c>
      <c r="Q21" s="1688"/>
      <c r="R21" s="1713" t="str">
        <f>IF(COUNT('먼지측정 사전 Data'!L72)=0,"",'먼지측정 사전 Data'!L69)</f>
        <v/>
      </c>
      <c r="S21" s="1714"/>
      <c r="T21" s="1716" t="str">
        <f>IF(COUNT('먼지측정 사전 Data'!L72)=0,"",'먼지측정 사전 Data'!L89)</f>
        <v/>
      </c>
      <c r="U21" s="1717"/>
      <c r="V21" s="609" t="str">
        <f>IF(COUNT('먼지측정 사전 Data'!L72)=0,"",IF('먼지측정 사전 Data'!U78=1,'먼지측정 사전 Data'!L79,'먼지측정 사전 Data'!L79*1000))</f>
        <v/>
      </c>
      <c r="W21" s="610" t="str">
        <f>IF(COUNT('먼지측정 사전 Data'!L72)=0,"",IF('먼지측정 사전 Data'!U78=1,(V21-V20),'먼지측정 사전 Data'!L80*1000))</f>
        <v/>
      </c>
      <c r="X21" s="574"/>
      <c r="Y21" s="574"/>
      <c r="Z21" s="574"/>
    </row>
    <row r="22" spans="1:31" ht="22.5" customHeight="1">
      <c r="A22" s="2061" t="s">
        <v>393</v>
      </c>
      <c r="B22" s="2103"/>
      <c r="C22" s="1713" t="str">
        <f>IF(COUNT('먼지측정 사전 Data'!N72)=0,"",'먼지측정 사전 Data'!N75)</f>
        <v/>
      </c>
      <c r="D22" s="1714"/>
      <c r="E22" s="1713" t="str">
        <f>IF(COUNT('먼지측정 사전 Data'!N72)=0,"",'먼지측정 사전 Data'!N88)</f>
        <v/>
      </c>
      <c r="F22" s="1714"/>
      <c r="G22" s="1689" t="str">
        <f>IF(COUNT('먼지측정 사전 Data'!N70)=0,"",'먼지측정 사전 Data'!N71)</f>
        <v/>
      </c>
      <c r="H22" s="1690"/>
      <c r="I22" s="1689" t="str">
        <f>IF(COUNT('먼지측정 사전 Data'!N70)=0,"",'먼지측정 사전 Data'!N70)</f>
        <v/>
      </c>
      <c r="J22" s="1690"/>
      <c r="K22" s="611" t="str">
        <f>IF(COUNT('먼지측정 사전 Data'!N70)=0,"",'먼지측정 사전 Data'!N69)</f>
        <v/>
      </c>
      <c r="L22" s="611" t="str">
        <f>IF(COUNT('먼지측정 사전 Data'!N72)=0,"",'먼지측정 사전 Data'!N72)</f>
        <v/>
      </c>
      <c r="M22" s="611" t="str">
        <f>IF(COUNT('먼지측정 사전 Data'!N72)=0,"",'먼지측정 사전 Data'!N73)</f>
        <v/>
      </c>
      <c r="N22" s="1715" t="str">
        <f>IF(COUNT('먼지측정 사전 Data'!N72)=0,"",'먼지측정 사전 Data'!N85)</f>
        <v/>
      </c>
      <c r="O22" s="1715"/>
      <c r="P22" s="1687" t="str">
        <f>IF(COUNT('먼지측정 사전 Data'!N72)=0,"",'먼지측정 사전 Data'!N86)</f>
        <v/>
      </c>
      <c r="Q22" s="1688"/>
      <c r="R22" s="1713" t="str">
        <f>IF(COUNT('먼지측정 사전 Data'!N72)=0,"",'먼지측정 사전 Data'!N69)</f>
        <v/>
      </c>
      <c r="S22" s="1714"/>
      <c r="T22" s="1713" t="str">
        <f>IF(COUNT('먼지측정 사전 Data'!N72)=0,"",'먼지측정 사전 Data'!N89)</f>
        <v/>
      </c>
      <c r="U22" s="1714"/>
      <c r="V22" s="609" t="str">
        <f>IF(COUNT('먼지측정 사전 Data'!N72)=0,"",IF('먼지측정 사전 Data'!U78=1,'먼지측정 사전 Data'!N79,'먼지측정 사전 Data'!N79*1000))</f>
        <v/>
      </c>
      <c r="W22" s="610" t="str">
        <f>IF(COUNT('먼지측정 사전 Data'!N72)=0,"",IF('먼지측정 사전 Data'!U78=1,(V22-V21),'먼지측정 사전 Data'!N80*1000))</f>
        <v/>
      </c>
      <c r="X22" s="574"/>
      <c r="Y22" s="574"/>
      <c r="Z22" s="574"/>
    </row>
    <row r="23" spans="1:31" ht="22.5" customHeight="1">
      <c r="A23" s="2061" t="s">
        <v>394</v>
      </c>
      <c r="B23" s="2103"/>
      <c r="C23" s="1711" t="str">
        <f>IF(COUNT('먼지측정 사전 Data'!P72)=0,"",'먼지측정 사전 Data'!P75)</f>
        <v/>
      </c>
      <c r="D23" s="1712"/>
      <c r="E23" s="1713" t="str">
        <f>IF(COUNT('먼지측정 사전 Data'!P72)=0,"",'먼지측정 사전 Data'!P88)</f>
        <v/>
      </c>
      <c r="F23" s="1714"/>
      <c r="G23" s="1689" t="str">
        <f>IF(COUNT('먼지측정 사전 Data'!P70)=0,"",'먼지측정 사전 Data'!P71)</f>
        <v/>
      </c>
      <c r="H23" s="1690"/>
      <c r="I23" s="1689" t="str">
        <f>IF(COUNT('먼지측정 사전 Data'!P70)=0,"",'먼지측정 사전 Data'!P70)</f>
        <v/>
      </c>
      <c r="J23" s="1690"/>
      <c r="K23" s="611" t="str">
        <f>IF(COUNT('먼지측정 사전 Data'!P70)=0,"",'먼지측정 사전 Data'!P69)</f>
        <v/>
      </c>
      <c r="L23" s="611" t="str">
        <f>IF(COUNT('먼지측정 사전 Data'!P72)=0,"",'먼지측정 사전 Data'!P72)</f>
        <v/>
      </c>
      <c r="M23" s="611" t="str">
        <f>IF(COUNT('먼지측정 사전 Data'!P72)=0,"",'먼지측정 사전 Data'!P73)</f>
        <v/>
      </c>
      <c r="N23" s="1715" t="str">
        <f>IF(COUNT('먼지측정 사전 Data'!P72)=0,"",'먼지측정 사전 Data'!P85)</f>
        <v/>
      </c>
      <c r="O23" s="1715"/>
      <c r="P23" s="1687" t="str">
        <f>IF(COUNT('먼지측정 사전 Data'!P72)=0,"",'먼지측정 사전 Data'!P86)</f>
        <v/>
      </c>
      <c r="Q23" s="1688"/>
      <c r="R23" s="1713" t="str">
        <f>IF(COUNT('먼지측정 사전 Data'!P72)=0,"",'먼지측정 사전 Data'!P69)</f>
        <v/>
      </c>
      <c r="S23" s="1714"/>
      <c r="T23" s="1713" t="str">
        <f>IF(COUNT('먼지측정 사전 Data'!P72)=0,"",'먼지측정 사전 Data'!P89)</f>
        <v/>
      </c>
      <c r="U23" s="1714"/>
      <c r="V23" s="609" t="str">
        <f>IF(COUNT('먼지측정 사전 Data'!P72)=0,"",IF('먼지측정 사전 Data'!U78=1,'먼지측정 사전 Data'!P79,'먼지측정 사전 Data'!P79*1000))</f>
        <v/>
      </c>
      <c r="W23" s="610" t="str">
        <f>IF(COUNT('먼지측정 사전 Data'!P72)=0,"",IF('먼지측정 사전 Data'!U78=1,(V23-V22),'먼지측정 사전 Data'!P80*1000))</f>
        <v/>
      </c>
      <c r="X23" s="574"/>
      <c r="Y23" s="574"/>
      <c r="Z23" s="574"/>
    </row>
    <row r="24" spans="1:31" ht="22.5" customHeight="1">
      <c r="A24" s="2093" t="s">
        <v>395</v>
      </c>
      <c r="B24" s="1659"/>
      <c r="C24" s="2095" t="str">
        <f>IF(COUNT('먼지측정 사전 Data'!H72)=0,"",SUM(C19:D23))</f>
        <v/>
      </c>
      <c r="D24" s="1714"/>
      <c r="E24" s="2096" t="str">
        <f>IF(COUNT('먼지측정 사전 Data'!H72)=0,"",SUM(E19:F23))</f>
        <v/>
      </c>
      <c r="F24" s="2097"/>
      <c r="G24" s="2098">
        <f t="shared" ref="G24" si="0">SUM(G19:H23)</f>
        <v>0</v>
      </c>
      <c r="H24" s="2099"/>
      <c r="I24" s="2098">
        <f t="shared" ref="I24" si="1">SUM(I19:J23)</f>
        <v>0</v>
      </c>
      <c r="J24" s="2099"/>
      <c r="K24" s="612">
        <f>SUM(K19:K23)</f>
        <v>0</v>
      </c>
      <c r="L24" s="612" t="str">
        <f>IF(COUNT('먼지측정 사전 Data'!H72)=0,"",SUM(L19:L23))</f>
        <v/>
      </c>
      <c r="M24" s="612" t="str">
        <f>IF(COUNT('먼지측정 사전 Data'!H72)=0,"",SUM(M19:M23))</f>
        <v/>
      </c>
      <c r="N24" s="2100" t="str">
        <f>IF(COUNT('먼지측정 사전 Data'!H72)=0,"",SUM(N19:O23))</f>
        <v/>
      </c>
      <c r="O24" s="2100"/>
      <c r="P24" s="2101" t="str">
        <f>IF(COUNT('먼지측정 사전 Data'!H72)=0,"",SUM(P19:Q23))</f>
        <v/>
      </c>
      <c r="Q24" s="2102"/>
      <c r="R24" s="2104" t="str">
        <f>IF(COUNT('먼지측정 사전 Data'!H72)=0,"",SUM(R19:S23))</f>
        <v/>
      </c>
      <c r="S24" s="2097"/>
      <c r="T24" s="2104" t="str">
        <f>IF(COUNT('먼지측정 사전 Data'!H72)=0,"",SUM(T19:U23))</f>
        <v/>
      </c>
      <c r="U24" s="2097"/>
      <c r="V24" s="613"/>
      <c r="W24" s="614" t="str">
        <f>IF(COUNT('먼지측정 사전 Data'!H72)=0,"",SUM(W19:W23))</f>
        <v/>
      </c>
      <c r="X24" s="574"/>
      <c r="Y24" s="574"/>
      <c r="Z24" s="574"/>
    </row>
    <row r="25" spans="1:31" ht="22.5" customHeight="1">
      <c r="A25" s="2093" t="s">
        <v>414</v>
      </c>
      <c r="B25" s="1659"/>
      <c r="C25" s="2083"/>
      <c r="D25" s="2094"/>
      <c r="E25" s="1689" t="str">
        <f>IF(COUNT('먼지측정 사전 Data'!H72)=0,"",AVERAGE(E19:F23))</f>
        <v/>
      </c>
      <c r="F25" s="1690"/>
      <c r="G25" s="1689">
        <f>AVERAGE(G19:H23)</f>
        <v>0</v>
      </c>
      <c r="H25" s="1690"/>
      <c r="I25" s="1689">
        <f>AVERAGE(I19:J23)</f>
        <v>0</v>
      </c>
      <c r="J25" s="1690"/>
      <c r="K25" s="615">
        <f>AVERAGE(K19:K23)</f>
        <v>0</v>
      </c>
      <c r="L25" s="1689" t="str">
        <f>IF(COUNT('먼지측정 사전 Data'!H72)=0,"",AVERAGE(L19:M23))</f>
        <v/>
      </c>
      <c r="M25" s="1690"/>
      <c r="N25" s="1687" t="str">
        <f>IF(COUNT('먼지측정 사전 Data'!H72)=0,"",AVERAGE(N19:O23))</f>
        <v/>
      </c>
      <c r="O25" s="1688"/>
      <c r="P25" s="1687" t="str">
        <f>IF(COUNT('먼지측정 사전 Data'!H72)=0,"",AVERAGE(P19:Q23))</f>
        <v/>
      </c>
      <c r="Q25" s="1688"/>
      <c r="R25" s="1689" t="str">
        <f>IF(COUNT('먼지측정 사전 Data'!H72)=0,"",AVERAGE(R19:S23))</f>
        <v/>
      </c>
      <c r="S25" s="1690"/>
      <c r="T25" s="1689" t="str">
        <f>IF(COUNT('먼지측정 사전 Data'!H72)=0,"",AVERAGE(T19:U23))</f>
        <v/>
      </c>
      <c r="U25" s="1690"/>
      <c r="V25" s="2083"/>
      <c r="W25" s="2084"/>
      <c r="X25" s="574"/>
      <c r="Y25" s="574"/>
      <c r="Z25" s="574"/>
    </row>
    <row r="26" spans="1:31" ht="22.5" customHeight="1">
      <c r="A26" s="2076" t="s">
        <v>614</v>
      </c>
      <c r="B26" s="2077"/>
      <c r="C26" s="2085"/>
      <c r="D26" s="2062" t="s">
        <v>396</v>
      </c>
      <c r="E26" s="2062"/>
      <c r="F26" s="2062"/>
      <c r="G26" s="2086" t="e">
        <f>'먼지측정 사전 Data'!H59</f>
        <v>#DIV/0!</v>
      </c>
      <c r="H26" s="2086"/>
      <c r="I26" s="2087"/>
      <c r="J26" s="1658" t="s">
        <v>397</v>
      </c>
      <c r="K26" s="2062"/>
      <c r="L26" s="2062"/>
      <c r="M26" s="1659"/>
      <c r="N26" s="2088" t="str">
        <f>IF('먼지측정 사전 Data'!Q60=0,"",K25)</f>
        <v/>
      </c>
      <c r="O26" s="2089"/>
      <c r="P26" s="2089"/>
      <c r="Q26" s="2090"/>
      <c r="R26" s="1658" t="s">
        <v>415</v>
      </c>
      <c r="S26" s="2062"/>
      <c r="T26" s="2062"/>
      <c r="U26" s="1659"/>
      <c r="V26" s="2091" t="str">
        <f>IF('먼지측정 사전 Data'!Q60=0,"",'포화수증기압 표 '!E4)</f>
        <v/>
      </c>
      <c r="W26" s="2092"/>
      <c r="X26" s="574"/>
      <c r="Y26" s="574"/>
      <c r="Z26" s="574"/>
    </row>
    <row r="27" spans="1:31" ht="22.5" customHeight="1">
      <c r="A27" s="2082" t="s">
        <v>398</v>
      </c>
      <c r="B27" s="2073"/>
      <c r="C27" s="2073"/>
      <c r="D27" s="2073" t="s">
        <v>399</v>
      </c>
      <c r="E27" s="2073"/>
      <c r="F27" s="2073"/>
      <c r="G27" s="1650" t="s">
        <v>401</v>
      </c>
      <c r="H27" s="1650"/>
      <c r="I27" s="1650"/>
      <c r="J27" s="1650"/>
      <c r="K27" s="1650" t="s">
        <v>404</v>
      </c>
      <c r="L27" s="1650"/>
      <c r="M27" s="1650"/>
      <c r="N27" s="1650"/>
      <c r="O27" s="1658" t="s">
        <v>416</v>
      </c>
      <c r="P27" s="2062"/>
      <c r="Q27" s="2062"/>
      <c r="R27" s="2062"/>
      <c r="S27" s="2062"/>
      <c r="T27" s="2062" t="e">
        <f>IF('먼지측정 사전 Data'!Q60=1,"",U29/A29)</f>
        <v>#DIV/0!</v>
      </c>
      <c r="U27" s="2062"/>
      <c r="V27" s="2062"/>
      <c r="W27" s="593" t="s">
        <v>405</v>
      </c>
      <c r="X27" s="574"/>
      <c r="Y27" s="574"/>
      <c r="Z27" s="574"/>
    </row>
    <row r="28" spans="1:31" ht="22.5" customHeight="1">
      <c r="A28" s="2082"/>
      <c r="B28" s="2073"/>
      <c r="C28" s="2073"/>
      <c r="D28" s="2073"/>
      <c r="E28" s="2073"/>
      <c r="F28" s="2073"/>
      <c r="G28" s="2073" t="s">
        <v>383</v>
      </c>
      <c r="H28" s="2073"/>
      <c r="I28" s="2073" t="s">
        <v>384</v>
      </c>
      <c r="J28" s="2073"/>
      <c r="K28" s="1650" t="s">
        <v>402</v>
      </c>
      <c r="L28" s="1650"/>
      <c r="M28" s="1650" t="s">
        <v>403</v>
      </c>
      <c r="N28" s="1650"/>
      <c r="O28" s="1650" t="s">
        <v>386</v>
      </c>
      <c r="P28" s="1650"/>
      <c r="Q28" s="1650"/>
      <c r="R28" s="1650" t="s">
        <v>387</v>
      </c>
      <c r="S28" s="1650"/>
      <c r="T28" s="1650"/>
      <c r="U28" s="1650" t="s">
        <v>388</v>
      </c>
      <c r="V28" s="1650"/>
      <c r="W28" s="2074"/>
      <c r="X28" s="574"/>
      <c r="Y28" s="574"/>
      <c r="Z28" s="574"/>
    </row>
    <row r="29" spans="1:31" ht="22.5" customHeight="1">
      <c r="A29" s="2081">
        <f>IF('먼지측정 사전 Data'!Q60=1,"",'먼지측정 사전 Data'!H54)</f>
        <v>0</v>
      </c>
      <c r="B29" s="1684"/>
      <c r="C29" s="1684"/>
      <c r="D29" s="1685">
        <f>IF('먼지측정 사전 Data'!Q60=1,"",'먼지측정 사전 Data'!O55)</f>
        <v>0.87</v>
      </c>
      <c r="E29" s="1685"/>
      <c r="F29" s="1685"/>
      <c r="G29" s="1650">
        <f>IF('먼지측정 사전 Data'!Q60=1,"",'먼지측정 사전 Data'!H51)</f>
        <v>0</v>
      </c>
      <c r="H29" s="1650"/>
      <c r="I29" s="1650">
        <f>IF('먼지측정 사전 Data'!Q60=1,"",'먼지측정 사전 Data'!H52)</f>
        <v>0</v>
      </c>
      <c r="J29" s="1650"/>
      <c r="K29" s="1685">
        <f>IF('먼지측정 사전 Data'!Q60=1,"",'먼지측정 사전 Data'!H48)</f>
        <v>0</v>
      </c>
      <c r="L29" s="1685"/>
      <c r="M29" s="1685">
        <f>IF('먼지측정 사전 Data'!Q60=1,"",'먼지측정 사전 Data'!H49)</f>
        <v>0</v>
      </c>
      <c r="N29" s="1685"/>
      <c r="O29" s="1684">
        <f>IF('먼지측정 사전 Data'!Q60=1,"",'먼지측정 사전 Data'!H56)</f>
        <v>0</v>
      </c>
      <c r="P29" s="1684"/>
      <c r="Q29" s="1684"/>
      <c r="R29" s="1684">
        <f>IF('먼지측정 사전 Data'!Q60=1,"",'먼지측정 사전 Data'!H57)</f>
        <v>0</v>
      </c>
      <c r="S29" s="1684"/>
      <c r="T29" s="1684"/>
      <c r="U29" s="1686">
        <f>IF('먼지측정 사전 Data'!Q60=1,"",'먼지측정 사전 Data'!H58)</f>
        <v>0</v>
      </c>
      <c r="V29" s="1686"/>
      <c r="W29" s="2075"/>
      <c r="X29" s="574"/>
      <c r="Y29" s="574"/>
      <c r="Z29" s="574"/>
    </row>
    <row r="30" spans="1:31" ht="22.5" customHeight="1">
      <c r="A30" s="2076" t="s">
        <v>406</v>
      </c>
      <c r="B30" s="2077"/>
      <c r="C30" s="2077"/>
      <c r="D30" s="2077"/>
      <c r="E30" s="2077"/>
      <c r="F30" s="2077"/>
      <c r="G30" s="2062"/>
      <c r="H30" s="2062"/>
      <c r="I30" s="2062"/>
      <c r="J30" s="2062"/>
      <c r="K30" s="2062"/>
      <c r="L30" s="2062"/>
      <c r="M30" s="2062"/>
      <c r="N30" s="2062"/>
      <c r="O30" s="2062"/>
      <c r="P30" s="2062"/>
      <c r="Q30" s="2062"/>
      <c r="R30" s="2062"/>
      <c r="S30" s="2062"/>
      <c r="T30" s="2062"/>
      <c r="U30" s="2062"/>
      <c r="V30" s="2062"/>
      <c r="W30" s="2078"/>
      <c r="X30" s="574"/>
      <c r="Y30" s="574"/>
      <c r="Z30" s="574"/>
    </row>
    <row r="31" spans="1:31" ht="19.5" customHeight="1">
      <c r="A31" s="2079" t="s">
        <v>188</v>
      </c>
      <c r="B31" s="1650"/>
      <c r="C31" s="1650"/>
      <c r="D31" s="2073" t="s">
        <v>398</v>
      </c>
      <c r="E31" s="2073"/>
      <c r="F31" s="2080" t="s">
        <v>399</v>
      </c>
      <c r="G31" s="2080"/>
      <c r="H31" s="1650" t="s">
        <v>401</v>
      </c>
      <c r="I31" s="1650"/>
      <c r="J31" s="1650"/>
      <c r="K31" s="1650"/>
      <c r="L31" s="1650" t="s">
        <v>407</v>
      </c>
      <c r="M31" s="1650"/>
      <c r="N31" s="2073" t="s">
        <v>408</v>
      </c>
      <c r="O31" s="2073"/>
      <c r="P31" s="2073" t="s">
        <v>410</v>
      </c>
      <c r="Q31" s="2073"/>
      <c r="R31" s="2073"/>
      <c r="S31" s="2073"/>
      <c r="T31" s="2073" t="s">
        <v>465</v>
      </c>
      <c r="U31" s="1650"/>
      <c r="V31" s="1650" t="s">
        <v>189</v>
      </c>
      <c r="W31" s="2074"/>
      <c r="X31" s="574"/>
      <c r="Y31" s="574"/>
      <c r="Z31" s="574"/>
    </row>
    <row r="32" spans="1:31" ht="24.95" customHeight="1">
      <c r="A32" s="2079"/>
      <c r="B32" s="1650"/>
      <c r="C32" s="1650"/>
      <c r="D32" s="2073"/>
      <c r="E32" s="2073"/>
      <c r="F32" s="2080"/>
      <c r="G32" s="2080"/>
      <c r="H32" s="2073" t="s">
        <v>383</v>
      </c>
      <c r="I32" s="2073"/>
      <c r="J32" s="2073" t="s">
        <v>384</v>
      </c>
      <c r="K32" s="2073"/>
      <c r="L32" s="1650"/>
      <c r="M32" s="1650"/>
      <c r="N32" s="2073"/>
      <c r="O32" s="2073"/>
      <c r="P32" s="2073" t="s">
        <v>409</v>
      </c>
      <c r="Q32" s="2073"/>
      <c r="R32" s="2073" t="s">
        <v>411</v>
      </c>
      <c r="S32" s="2073"/>
      <c r="T32" s="1650"/>
      <c r="U32" s="1650"/>
      <c r="V32" s="1650"/>
      <c r="W32" s="2074"/>
      <c r="X32" s="574"/>
      <c r="Y32" s="574"/>
      <c r="Z32" s="574"/>
      <c r="AE32" s="616"/>
    </row>
    <row r="33" spans="1:31" ht="23.1" customHeight="1">
      <c r="A33" s="2066"/>
      <c r="B33" s="1648"/>
      <c r="C33" s="1649"/>
      <c r="D33" s="2067" t="str">
        <f>IF(A33="","",IFERROR(VLOOKUP(A33,$AA$33:$AE$44,3,FALSE),""))</f>
        <v/>
      </c>
      <c r="E33" s="2067"/>
      <c r="F33" s="2072"/>
      <c r="G33" s="2072"/>
      <c r="H33" s="1641"/>
      <c r="I33" s="1641"/>
      <c r="J33" s="1642" t="str">
        <f>IF(H33="","",H33)</f>
        <v/>
      </c>
      <c r="K33" s="1642"/>
      <c r="L33" s="1641"/>
      <c r="M33" s="1641"/>
      <c r="N33" s="1641"/>
      <c r="O33" s="1641"/>
      <c r="P33" s="1641"/>
      <c r="Q33" s="1641"/>
      <c r="R33" s="1641"/>
      <c r="S33" s="1641"/>
      <c r="T33" s="1642" t="str">
        <f>IF(A33="VOCs-T",1,IF(A33="VOCs-A",1,IF(A33="VOCs",5,IF(L33="","",N33-L33))))</f>
        <v/>
      </c>
      <c r="U33" s="1642"/>
      <c r="V33" s="604">
        <v>1</v>
      </c>
      <c r="W33" s="617"/>
      <c r="X33" s="574"/>
      <c r="Y33" s="574"/>
      <c r="Z33" s="574"/>
      <c r="AA33" s="220" t="s">
        <v>742</v>
      </c>
      <c r="AB33" s="29"/>
      <c r="AC33" s="626">
        <v>2</v>
      </c>
      <c r="AD33" s="29"/>
      <c r="AE33" s="77">
        <v>20</v>
      </c>
    </row>
    <row r="34" spans="1:31" ht="23.1" customHeight="1">
      <c r="A34" s="2066"/>
      <c r="B34" s="1648"/>
      <c r="C34" s="1649"/>
      <c r="D34" s="2067" t="str">
        <f t="shared" ref="D34:D42" si="2">IF(A34="","",IFERROR(VLOOKUP(A34,$AA$33:$AE$44,3,FALSE),""))</f>
        <v/>
      </c>
      <c r="E34" s="2067"/>
      <c r="F34" s="2072"/>
      <c r="G34" s="2072"/>
      <c r="H34" s="1641"/>
      <c r="I34" s="1641"/>
      <c r="J34" s="1642" t="str">
        <f t="shared" ref="J34:J42" si="3">IF(H34="","",H34)</f>
        <v/>
      </c>
      <c r="K34" s="1642"/>
      <c r="L34" s="1641"/>
      <c r="M34" s="1641"/>
      <c r="N34" s="1641"/>
      <c r="O34" s="1641"/>
      <c r="P34" s="1641"/>
      <c r="Q34" s="1641"/>
      <c r="R34" s="1641"/>
      <c r="S34" s="1641"/>
      <c r="T34" s="1642" t="str">
        <f t="shared" ref="T34:T42" si="4">IF(A34="VOCs-T",1,IF(A34="VOCs-A",1,IF(A34="VOCs",5,IF(L34="","",N34-L34))))</f>
        <v/>
      </c>
      <c r="U34" s="1642"/>
      <c r="V34" s="604">
        <v>2</v>
      </c>
      <c r="W34" s="619"/>
      <c r="X34" s="574"/>
      <c r="Y34" s="574"/>
      <c r="Z34" s="574"/>
      <c r="AA34" s="220" t="s">
        <v>743</v>
      </c>
      <c r="AB34" s="29"/>
      <c r="AC34" s="626">
        <v>1</v>
      </c>
      <c r="AD34" s="29"/>
      <c r="AE34" s="77">
        <v>40</v>
      </c>
    </row>
    <row r="35" spans="1:31" ht="23.1" customHeight="1">
      <c r="A35" s="2066"/>
      <c r="B35" s="1648"/>
      <c r="C35" s="1649"/>
      <c r="D35" s="2067" t="str">
        <f t="shared" si="2"/>
        <v/>
      </c>
      <c r="E35" s="2067"/>
      <c r="F35" s="2072"/>
      <c r="G35" s="2072"/>
      <c r="H35" s="1641"/>
      <c r="I35" s="1641"/>
      <c r="J35" s="1642" t="str">
        <f t="shared" si="3"/>
        <v/>
      </c>
      <c r="K35" s="1642"/>
      <c r="L35" s="1641"/>
      <c r="M35" s="1641"/>
      <c r="N35" s="1641"/>
      <c r="O35" s="1641"/>
      <c r="P35" s="1641"/>
      <c r="Q35" s="1641"/>
      <c r="R35" s="1641"/>
      <c r="S35" s="1641"/>
      <c r="T35" s="1642" t="str">
        <f t="shared" si="4"/>
        <v/>
      </c>
      <c r="U35" s="1642"/>
      <c r="V35" s="604">
        <v>3</v>
      </c>
      <c r="W35" s="619"/>
      <c r="X35" s="574"/>
      <c r="Y35" s="574"/>
      <c r="Z35" s="574"/>
      <c r="AA35" s="220" t="s">
        <v>744</v>
      </c>
      <c r="AB35" s="29"/>
      <c r="AC35" s="626">
        <v>0.1</v>
      </c>
      <c r="AD35" s="29"/>
      <c r="AE35" s="77">
        <v>10</v>
      </c>
    </row>
    <row r="36" spans="1:31" ht="23.1" customHeight="1">
      <c r="A36" s="2066"/>
      <c r="B36" s="1648"/>
      <c r="C36" s="1649"/>
      <c r="D36" s="2067" t="str">
        <f t="shared" si="2"/>
        <v/>
      </c>
      <c r="E36" s="2067"/>
      <c r="F36" s="2072"/>
      <c r="G36" s="2072"/>
      <c r="H36" s="1641"/>
      <c r="I36" s="1641"/>
      <c r="J36" s="1642" t="str">
        <f t="shared" si="3"/>
        <v/>
      </c>
      <c r="K36" s="1642"/>
      <c r="L36" s="1661"/>
      <c r="M36" s="1661"/>
      <c r="N36" s="1661"/>
      <c r="O36" s="1661"/>
      <c r="P36" s="1641"/>
      <c r="Q36" s="1641"/>
      <c r="R36" s="1641"/>
      <c r="S36" s="1641"/>
      <c r="T36" s="1642" t="str">
        <f t="shared" si="4"/>
        <v/>
      </c>
      <c r="U36" s="1642"/>
      <c r="V36" s="604">
        <v>4</v>
      </c>
      <c r="W36" s="619"/>
      <c r="X36" s="574"/>
      <c r="Y36" s="574"/>
      <c r="Z36" s="574"/>
      <c r="AA36" s="220" t="s">
        <v>745</v>
      </c>
      <c r="AB36" s="29"/>
      <c r="AC36" s="626">
        <v>1</v>
      </c>
      <c r="AD36" s="29"/>
      <c r="AE36" s="77">
        <v>20</v>
      </c>
    </row>
    <row r="37" spans="1:31" ht="23.1" customHeight="1">
      <c r="A37" s="2066"/>
      <c r="B37" s="1648"/>
      <c r="C37" s="1649"/>
      <c r="D37" s="2067" t="str">
        <f t="shared" si="2"/>
        <v/>
      </c>
      <c r="E37" s="2067"/>
      <c r="F37" s="2072"/>
      <c r="G37" s="2072"/>
      <c r="H37" s="1641"/>
      <c r="I37" s="1641"/>
      <c r="J37" s="1642" t="str">
        <f t="shared" si="3"/>
        <v/>
      </c>
      <c r="K37" s="1642"/>
      <c r="L37" s="1661"/>
      <c r="M37" s="1661"/>
      <c r="N37" s="1661"/>
      <c r="O37" s="1661"/>
      <c r="P37" s="1662"/>
      <c r="Q37" s="1650"/>
      <c r="R37" s="1662"/>
      <c r="S37" s="1650"/>
      <c r="T37" s="1642" t="str">
        <f t="shared" si="4"/>
        <v/>
      </c>
      <c r="U37" s="1642"/>
      <c r="V37" s="604">
        <v>5</v>
      </c>
      <c r="W37" s="619"/>
      <c r="X37" s="574"/>
      <c r="Y37" s="574"/>
      <c r="Z37" s="574"/>
      <c r="AA37" s="220" t="s">
        <v>746</v>
      </c>
      <c r="AB37" s="29"/>
      <c r="AC37" s="626">
        <v>1</v>
      </c>
      <c r="AD37" s="29"/>
      <c r="AE37" s="77">
        <v>80</v>
      </c>
    </row>
    <row r="38" spans="1:31" ht="23.1" customHeight="1">
      <c r="A38" s="2066"/>
      <c r="B38" s="1648"/>
      <c r="C38" s="1649"/>
      <c r="D38" s="2067" t="str">
        <f t="shared" si="2"/>
        <v/>
      </c>
      <c r="E38" s="2067"/>
      <c r="F38" s="2072"/>
      <c r="G38" s="2072"/>
      <c r="H38" s="1641"/>
      <c r="I38" s="1641"/>
      <c r="J38" s="1642" t="str">
        <f t="shared" si="3"/>
        <v/>
      </c>
      <c r="K38" s="1642"/>
      <c r="L38" s="1661"/>
      <c r="M38" s="1661"/>
      <c r="N38" s="1661"/>
      <c r="O38" s="1661"/>
      <c r="P38" s="1650"/>
      <c r="Q38" s="1650"/>
      <c r="R38" s="1650"/>
      <c r="S38" s="1650"/>
      <c r="T38" s="1642" t="str">
        <f t="shared" si="4"/>
        <v/>
      </c>
      <c r="U38" s="1642"/>
      <c r="V38" s="2167"/>
      <c r="W38" s="2168"/>
      <c r="X38" s="574"/>
      <c r="Y38" s="574"/>
      <c r="Z38" s="574"/>
      <c r="AA38" s="220" t="s">
        <v>747</v>
      </c>
      <c r="AB38" s="29"/>
      <c r="AC38" s="626">
        <v>1</v>
      </c>
      <c r="AD38" s="29"/>
      <c r="AE38" s="77">
        <v>10</v>
      </c>
    </row>
    <row r="39" spans="1:31" ht="23.1" customHeight="1">
      <c r="A39" s="2066"/>
      <c r="B39" s="1648"/>
      <c r="C39" s="1649"/>
      <c r="D39" s="2067" t="str">
        <f t="shared" si="2"/>
        <v/>
      </c>
      <c r="E39" s="2067"/>
      <c r="F39" s="2068"/>
      <c r="G39" s="2069"/>
      <c r="H39" s="2070"/>
      <c r="I39" s="2071"/>
      <c r="J39" s="1642" t="str">
        <f t="shared" si="3"/>
        <v/>
      </c>
      <c r="K39" s="1642"/>
      <c r="L39" s="1656"/>
      <c r="M39" s="1657"/>
      <c r="N39" s="1656"/>
      <c r="O39" s="1657"/>
      <c r="P39" s="1658"/>
      <c r="Q39" s="1659"/>
      <c r="R39" s="1658"/>
      <c r="S39" s="1659"/>
      <c r="T39" s="1642" t="str">
        <f t="shared" si="4"/>
        <v/>
      </c>
      <c r="U39" s="1642"/>
      <c r="V39" s="2169"/>
      <c r="W39" s="2170"/>
      <c r="X39" s="574"/>
      <c r="Y39" s="574"/>
      <c r="Z39" s="574"/>
      <c r="AA39" s="220" t="s">
        <v>748</v>
      </c>
      <c r="AB39" s="29"/>
      <c r="AC39" s="626">
        <v>1</v>
      </c>
      <c r="AD39" s="29"/>
      <c r="AE39" s="77">
        <v>40</v>
      </c>
    </row>
    <row r="40" spans="1:31" ht="23.1" customHeight="1">
      <c r="A40" s="2066"/>
      <c r="B40" s="1648"/>
      <c r="C40" s="1649"/>
      <c r="D40" s="2067" t="str">
        <f t="shared" si="2"/>
        <v/>
      </c>
      <c r="E40" s="2067"/>
      <c r="F40" s="2072"/>
      <c r="G40" s="2072"/>
      <c r="H40" s="1641"/>
      <c r="I40" s="1641"/>
      <c r="J40" s="1642" t="str">
        <f t="shared" si="3"/>
        <v/>
      </c>
      <c r="K40" s="1642"/>
      <c r="L40" s="1641"/>
      <c r="M40" s="1641"/>
      <c r="N40" s="1641"/>
      <c r="O40" s="1641"/>
      <c r="P40" s="1650"/>
      <c r="Q40" s="1650"/>
      <c r="R40" s="1650"/>
      <c r="S40" s="1650"/>
      <c r="T40" s="1642" t="str">
        <f t="shared" si="4"/>
        <v/>
      </c>
      <c r="U40" s="1642"/>
      <c r="V40" s="2169"/>
      <c r="W40" s="2170"/>
      <c r="X40" s="574"/>
      <c r="Y40" s="574"/>
      <c r="Z40" s="574"/>
      <c r="AA40" s="220" t="s">
        <v>749</v>
      </c>
      <c r="AB40" s="29"/>
      <c r="AC40" s="626">
        <v>1</v>
      </c>
      <c r="AD40" s="29"/>
      <c r="AE40" s="77">
        <v>20</v>
      </c>
    </row>
    <row r="41" spans="1:31" ht="23.1" customHeight="1">
      <c r="A41" s="2066"/>
      <c r="B41" s="1648"/>
      <c r="C41" s="1649"/>
      <c r="D41" s="2067" t="str">
        <f t="shared" si="2"/>
        <v/>
      </c>
      <c r="E41" s="2067"/>
      <c r="F41" s="2166"/>
      <c r="G41" s="2166"/>
      <c r="H41" s="1651"/>
      <c r="I41" s="1651"/>
      <c r="J41" s="1642" t="str">
        <f t="shared" si="3"/>
        <v/>
      </c>
      <c r="K41" s="1642"/>
      <c r="L41" s="1651"/>
      <c r="M41" s="1651"/>
      <c r="N41" s="1651"/>
      <c r="O41" s="1651"/>
      <c r="P41" s="1652"/>
      <c r="Q41" s="1652"/>
      <c r="R41" s="1652"/>
      <c r="S41" s="1652"/>
      <c r="T41" s="1642" t="str">
        <f t="shared" si="4"/>
        <v/>
      </c>
      <c r="U41" s="1642"/>
      <c r="V41" s="620"/>
      <c r="W41" s="621"/>
      <c r="X41" s="574"/>
      <c r="Y41" s="574"/>
      <c r="Z41" s="574"/>
      <c r="AA41" s="220" t="s">
        <v>1082</v>
      </c>
      <c r="AB41" s="29"/>
      <c r="AC41" s="626">
        <v>1</v>
      </c>
      <c r="AD41" s="29"/>
      <c r="AE41" s="77"/>
    </row>
    <row r="42" spans="1:31" ht="23.1" customHeight="1" thickBot="1">
      <c r="A42" s="2066"/>
      <c r="B42" s="1648"/>
      <c r="C42" s="1649"/>
      <c r="D42" s="2067" t="str">
        <f t="shared" si="2"/>
        <v/>
      </c>
      <c r="E42" s="2067"/>
      <c r="F42" s="2163"/>
      <c r="G42" s="2163"/>
      <c r="H42" s="2164"/>
      <c r="I42" s="2164"/>
      <c r="J42" s="1642" t="str">
        <f t="shared" si="3"/>
        <v/>
      </c>
      <c r="K42" s="1642"/>
      <c r="L42" s="2164"/>
      <c r="M42" s="2164"/>
      <c r="N42" s="2164"/>
      <c r="O42" s="2164"/>
      <c r="P42" s="2165"/>
      <c r="Q42" s="2165"/>
      <c r="R42" s="2165"/>
      <c r="S42" s="2165"/>
      <c r="T42" s="1642" t="str">
        <f t="shared" si="4"/>
        <v/>
      </c>
      <c r="U42" s="1642"/>
      <c r="V42" s="622"/>
      <c r="W42" s="623"/>
      <c r="X42" s="574"/>
      <c r="Y42" s="574"/>
      <c r="Z42" s="574"/>
      <c r="AA42" s="220" t="s">
        <v>1083</v>
      </c>
      <c r="AB42" s="29"/>
      <c r="AC42" s="626">
        <v>0.2</v>
      </c>
      <c r="AD42" s="29"/>
      <c r="AE42" s="77">
        <v>1</v>
      </c>
    </row>
    <row r="43" spans="1:31" ht="23.1" customHeight="1">
      <c r="A43" s="1643"/>
      <c r="B43" s="1643"/>
      <c r="C43" s="1643"/>
      <c r="D43" s="1635"/>
      <c r="E43" s="1635"/>
      <c r="F43" s="1644"/>
      <c r="G43" s="1644"/>
      <c r="H43" s="1635"/>
      <c r="I43" s="1635"/>
      <c r="J43" s="1635"/>
      <c r="K43" s="1635"/>
      <c r="L43" s="1635"/>
      <c r="M43" s="1635"/>
      <c r="N43" s="1635"/>
      <c r="O43" s="1635"/>
      <c r="P43" s="1643"/>
      <c r="Q43" s="1643"/>
      <c r="R43" s="1643"/>
      <c r="S43" s="1643"/>
      <c r="T43" s="1635"/>
      <c r="U43" s="1635"/>
      <c r="X43" s="574"/>
      <c r="Y43" s="574"/>
      <c r="Z43" s="574"/>
      <c r="AA43" s="220" t="s">
        <v>1084</v>
      </c>
      <c r="AB43" s="29"/>
      <c r="AC43" s="626">
        <v>0.2</v>
      </c>
      <c r="AD43" s="29"/>
      <c r="AE43" s="77">
        <v>1</v>
      </c>
    </row>
    <row r="44" spans="1:31" ht="23.1" customHeight="1">
      <c r="A44" s="1643"/>
      <c r="B44" s="1643"/>
      <c r="C44" s="1643"/>
      <c r="D44" s="1635"/>
      <c r="E44" s="1635"/>
      <c r="F44" s="1644"/>
      <c r="G44" s="1644"/>
      <c r="H44" s="1635"/>
      <c r="I44" s="1635"/>
      <c r="J44" s="1635"/>
      <c r="K44" s="1635"/>
      <c r="L44" s="1635"/>
      <c r="M44" s="1635"/>
      <c r="N44" s="1635"/>
      <c r="O44" s="1635"/>
      <c r="P44" s="1643"/>
      <c r="Q44" s="1643"/>
      <c r="R44" s="1643"/>
      <c r="S44" s="1643"/>
      <c r="T44" s="1635"/>
      <c r="U44" s="1635"/>
      <c r="AA44" s="220" t="s">
        <v>1085</v>
      </c>
      <c r="AB44" s="29"/>
      <c r="AC44" s="626">
        <v>1</v>
      </c>
      <c r="AD44" s="29"/>
      <c r="AE44" s="77">
        <v>5</v>
      </c>
    </row>
    <row r="45" spans="1:31" ht="13.5" customHeight="1">
      <c r="AA45" s="77" t="s">
        <v>928</v>
      </c>
      <c r="AC45" s="624"/>
      <c r="AE45" s="618"/>
    </row>
    <row r="46" spans="1:31" ht="13.5" customHeight="1">
      <c r="AA46" s="77" t="s">
        <v>375</v>
      </c>
      <c r="AE46" s="624"/>
    </row>
    <row r="47" spans="1:31" ht="13.5" customHeight="1">
      <c r="A47" s="1636"/>
      <c r="B47" s="1637"/>
      <c r="C47" s="1637"/>
      <c r="D47" s="1637"/>
      <c r="E47" s="1637"/>
      <c r="F47" s="1637"/>
      <c r="G47" s="1637"/>
      <c r="H47" s="1637"/>
      <c r="I47" s="625"/>
      <c r="J47" s="625"/>
      <c r="K47" s="625"/>
      <c r="L47" s="625"/>
      <c r="M47" s="625"/>
      <c r="N47" s="625"/>
      <c r="O47" s="625"/>
      <c r="P47" s="625"/>
      <c r="Q47" s="1638"/>
      <c r="R47" s="1638"/>
      <c r="S47" s="1638"/>
      <c r="T47" s="1638"/>
      <c r="U47" s="1638"/>
      <c r="V47" s="1638"/>
      <c r="W47" s="1638"/>
    </row>
  </sheetData>
  <sheetProtection formatCells="0"/>
  <mergeCells count="337">
    <mergeCell ref="AC6:AD7"/>
    <mergeCell ref="AE6:AF7"/>
    <mergeCell ref="AG6:AH7"/>
    <mergeCell ref="AI6:AJ7"/>
    <mergeCell ref="AK6:AL7"/>
    <mergeCell ref="AM6:AN7"/>
    <mergeCell ref="AO6:AP7"/>
    <mergeCell ref="AC4:AD4"/>
    <mergeCell ref="AE4:AF4"/>
    <mergeCell ref="AG4:AH4"/>
    <mergeCell ref="AI4:AJ4"/>
    <mergeCell ref="AK4:AL4"/>
    <mergeCell ref="AM4:AN4"/>
    <mergeCell ref="AO4:AP4"/>
    <mergeCell ref="AC5:AD5"/>
    <mergeCell ref="AE5:AF5"/>
    <mergeCell ref="AG5:AH5"/>
    <mergeCell ref="AI5:AJ5"/>
    <mergeCell ref="AK5:AL5"/>
    <mergeCell ref="AM5:AN5"/>
    <mergeCell ref="AO5:AP5"/>
    <mergeCell ref="V38:W40"/>
    <mergeCell ref="T43:U43"/>
    <mergeCell ref="A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A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1:U41"/>
    <mergeCell ref="A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A41:C41"/>
    <mergeCell ref="D41:E41"/>
    <mergeCell ref="F41:G41"/>
    <mergeCell ref="H41:I41"/>
    <mergeCell ref="J41:K41"/>
    <mergeCell ref="L41:M41"/>
    <mergeCell ref="N41:O41"/>
    <mergeCell ref="P41:Q41"/>
    <mergeCell ref="R41:S41"/>
    <mergeCell ref="A1:W1"/>
    <mergeCell ref="A3:D3"/>
    <mergeCell ref="E3:I3"/>
    <mergeCell ref="J3:O3"/>
    <mergeCell ref="P3:R3"/>
    <mergeCell ref="S3:T3"/>
    <mergeCell ref="U3:V3"/>
    <mergeCell ref="A4:D4"/>
    <mergeCell ref="E4:I4"/>
    <mergeCell ref="P4:R4"/>
    <mergeCell ref="S4:T4"/>
    <mergeCell ref="U4:V4"/>
    <mergeCell ref="T2:U2"/>
    <mergeCell ref="A5:D5"/>
    <mergeCell ref="E5:I5"/>
    <mergeCell ref="P5:R5"/>
    <mergeCell ref="S5:T5"/>
    <mergeCell ref="U5:V5"/>
    <mergeCell ref="A6:D6"/>
    <mergeCell ref="E6:I6"/>
    <mergeCell ref="P6:U6"/>
    <mergeCell ref="V6:W6"/>
    <mergeCell ref="A7:D7"/>
    <mergeCell ref="P7:Q7"/>
    <mergeCell ref="R7:T7"/>
    <mergeCell ref="V7:W7"/>
    <mergeCell ref="S9:T9"/>
    <mergeCell ref="U9:V9"/>
    <mergeCell ref="A10:D10"/>
    <mergeCell ref="E10:I10"/>
    <mergeCell ref="J10:K10"/>
    <mergeCell ref="L10:O10"/>
    <mergeCell ref="A8:D8"/>
    <mergeCell ref="E8:I8"/>
    <mergeCell ref="J8:O8"/>
    <mergeCell ref="P8:T8"/>
    <mergeCell ref="U8:V8"/>
    <mergeCell ref="A9:D9"/>
    <mergeCell ref="E9:I9"/>
    <mergeCell ref="J9:K9"/>
    <mergeCell ref="L9:O9"/>
    <mergeCell ref="P9:R9"/>
    <mergeCell ref="U10:V10"/>
    <mergeCell ref="S10:T10"/>
    <mergeCell ref="R17:S18"/>
    <mergeCell ref="U11:W11"/>
    <mergeCell ref="J14:K14"/>
    <mergeCell ref="L14:O14"/>
    <mergeCell ref="A11:D11"/>
    <mergeCell ref="E11:G11"/>
    <mergeCell ref="H11:I11"/>
    <mergeCell ref="J11:K11"/>
    <mergeCell ref="L11:O11"/>
    <mergeCell ref="P11:T11"/>
    <mergeCell ref="P14:T14"/>
    <mergeCell ref="U14:W14"/>
    <mergeCell ref="A15:W15"/>
    <mergeCell ref="A12:D13"/>
    <mergeCell ref="E12:G12"/>
    <mergeCell ref="H12:I12"/>
    <mergeCell ref="J12:K13"/>
    <mergeCell ref="L12:O13"/>
    <mergeCell ref="P12:T13"/>
    <mergeCell ref="U12:W13"/>
    <mergeCell ref="A19:B19"/>
    <mergeCell ref="C19:D19"/>
    <mergeCell ref="E19:F19"/>
    <mergeCell ref="G19:H19"/>
    <mergeCell ref="I19:J19"/>
    <mergeCell ref="N19:O19"/>
    <mergeCell ref="T17:U18"/>
    <mergeCell ref="A18:B18"/>
    <mergeCell ref="C18:D18"/>
    <mergeCell ref="E18:F18"/>
    <mergeCell ref="G18:H18"/>
    <mergeCell ref="I18:J18"/>
    <mergeCell ref="P18:Q18"/>
    <mergeCell ref="P19:Q19"/>
    <mergeCell ref="R19:S19"/>
    <mergeCell ref="T19:U19"/>
    <mergeCell ref="A17:B17"/>
    <mergeCell ref="C17:D17"/>
    <mergeCell ref="E17:F17"/>
    <mergeCell ref="G17:H17"/>
    <mergeCell ref="I17:J17"/>
    <mergeCell ref="K17:M17"/>
    <mergeCell ref="N17:O18"/>
    <mergeCell ref="P17:Q17"/>
    <mergeCell ref="R20:S20"/>
    <mergeCell ref="T20:U20"/>
    <mergeCell ref="A21:B21"/>
    <mergeCell ref="C21:D21"/>
    <mergeCell ref="E21:F21"/>
    <mergeCell ref="G21:H21"/>
    <mergeCell ref="I21:J21"/>
    <mergeCell ref="N21:O21"/>
    <mergeCell ref="P21:Q21"/>
    <mergeCell ref="R21:S21"/>
    <mergeCell ref="T21:U21"/>
    <mergeCell ref="A20:B20"/>
    <mergeCell ref="C20:D20"/>
    <mergeCell ref="E20:F20"/>
    <mergeCell ref="G20:H20"/>
    <mergeCell ref="I20:J20"/>
    <mergeCell ref="N20:O20"/>
    <mergeCell ref="P20:Q20"/>
    <mergeCell ref="A22:B22"/>
    <mergeCell ref="C22:D22"/>
    <mergeCell ref="E22:F22"/>
    <mergeCell ref="G22:H22"/>
    <mergeCell ref="I22:J22"/>
    <mergeCell ref="N22:O22"/>
    <mergeCell ref="P22:Q22"/>
    <mergeCell ref="R22:S22"/>
    <mergeCell ref="T22:U22"/>
    <mergeCell ref="G28:H28"/>
    <mergeCell ref="I28:J28"/>
    <mergeCell ref="K28:L28"/>
    <mergeCell ref="M28:N28"/>
    <mergeCell ref="P23:Q23"/>
    <mergeCell ref="R23:S23"/>
    <mergeCell ref="T23:U23"/>
    <mergeCell ref="A24:B24"/>
    <mergeCell ref="C24:D24"/>
    <mergeCell ref="E24:F24"/>
    <mergeCell ref="G24:H24"/>
    <mergeCell ref="I24:J24"/>
    <mergeCell ref="N24:O24"/>
    <mergeCell ref="P24:Q24"/>
    <mergeCell ref="A23:B23"/>
    <mergeCell ref="C23:D23"/>
    <mergeCell ref="E23:F23"/>
    <mergeCell ref="G23:H23"/>
    <mergeCell ref="I23:J23"/>
    <mergeCell ref="N23:O23"/>
    <mergeCell ref="R24:S24"/>
    <mergeCell ref="T24:U24"/>
    <mergeCell ref="R25:S25"/>
    <mergeCell ref="T25:U25"/>
    <mergeCell ref="V25:W25"/>
    <mergeCell ref="A26:C26"/>
    <mergeCell ref="D26:F26"/>
    <mergeCell ref="G26:I26"/>
    <mergeCell ref="J26:M26"/>
    <mergeCell ref="N26:Q26"/>
    <mergeCell ref="R26:U26"/>
    <mergeCell ref="V26:W26"/>
    <mergeCell ref="A25:B25"/>
    <mergeCell ref="C25:D25"/>
    <mergeCell ref="E25:F25"/>
    <mergeCell ref="G25:H25"/>
    <mergeCell ref="I25:J25"/>
    <mergeCell ref="L25:M25"/>
    <mergeCell ref="N25:O25"/>
    <mergeCell ref="P25:Q25"/>
    <mergeCell ref="A30:F30"/>
    <mergeCell ref="G30:W30"/>
    <mergeCell ref="A31:C32"/>
    <mergeCell ref="D31:E32"/>
    <mergeCell ref="F31:G32"/>
    <mergeCell ref="H31:K31"/>
    <mergeCell ref="L31:M32"/>
    <mergeCell ref="N31:O32"/>
    <mergeCell ref="O28:Q28"/>
    <mergeCell ref="R28:T28"/>
    <mergeCell ref="U28:W28"/>
    <mergeCell ref="A29:C29"/>
    <mergeCell ref="D29:F29"/>
    <mergeCell ref="G29:H29"/>
    <mergeCell ref="I29:J29"/>
    <mergeCell ref="K29:L29"/>
    <mergeCell ref="M29:N29"/>
    <mergeCell ref="O29:Q29"/>
    <mergeCell ref="A27:C28"/>
    <mergeCell ref="D27:F28"/>
    <mergeCell ref="G27:J27"/>
    <mergeCell ref="K27:N27"/>
    <mergeCell ref="O27:S27"/>
    <mergeCell ref="T27:V27"/>
    <mergeCell ref="P31:S31"/>
    <mergeCell ref="T31:U32"/>
    <mergeCell ref="V31:W32"/>
    <mergeCell ref="H32:I32"/>
    <mergeCell ref="J32:K32"/>
    <mergeCell ref="P32:Q32"/>
    <mergeCell ref="R32:S32"/>
    <mergeCell ref="R29:T29"/>
    <mergeCell ref="U29:W29"/>
    <mergeCell ref="N33:O33"/>
    <mergeCell ref="P33:Q33"/>
    <mergeCell ref="R33:S33"/>
    <mergeCell ref="T33:U33"/>
    <mergeCell ref="A34:C34"/>
    <mergeCell ref="D34:E34"/>
    <mergeCell ref="F34:G34"/>
    <mergeCell ref="H34:I34"/>
    <mergeCell ref="J34:K34"/>
    <mergeCell ref="L34:M34"/>
    <mergeCell ref="A33:C33"/>
    <mergeCell ref="D33:E33"/>
    <mergeCell ref="F33:G33"/>
    <mergeCell ref="H33:I33"/>
    <mergeCell ref="J33:K33"/>
    <mergeCell ref="L33:M33"/>
    <mergeCell ref="N34:O34"/>
    <mergeCell ref="P34:Q34"/>
    <mergeCell ref="R34:S34"/>
    <mergeCell ref="T34:U34"/>
    <mergeCell ref="T35:U35"/>
    <mergeCell ref="A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A35:C35"/>
    <mergeCell ref="D35:E35"/>
    <mergeCell ref="F35:G35"/>
    <mergeCell ref="H35:I35"/>
    <mergeCell ref="J35:K35"/>
    <mergeCell ref="L35:M35"/>
    <mergeCell ref="N35:O35"/>
    <mergeCell ref="P35:Q35"/>
    <mergeCell ref="R35:S35"/>
    <mergeCell ref="F40:G40"/>
    <mergeCell ref="H40:I40"/>
    <mergeCell ref="J40:K40"/>
    <mergeCell ref="T37:U37"/>
    <mergeCell ref="A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A37:C37"/>
    <mergeCell ref="D37:E37"/>
    <mergeCell ref="F37:G37"/>
    <mergeCell ref="H37:I37"/>
    <mergeCell ref="J37:K37"/>
    <mergeCell ref="L37:M37"/>
    <mergeCell ref="N37:O37"/>
    <mergeCell ref="P37:Q37"/>
    <mergeCell ref="R37:S37"/>
    <mergeCell ref="A47:H47"/>
    <mergeCell ref="Q47:W47"/>
    <mergeCell ref="E13:G13"/>
    <mergeCell ref="H13:I13"/>
    <mergeCell ref="A14:D14"/>
    <mergeCell ref="H14:I14"/>
    <mergeCell ref="E14:G14"/>
    <mergeCell ref="L40:M40"/>
    <mergeCell ref="N40:O40"/>
    <mergeCell ref="P40:Q40"/>
    <mergeCell ref="R40:S40"/>
    <mergeCell ref="T40:U40"/>
    <mergeCell ref="A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A40:C40"/>
    <mergeCell ref="D40:E40"/>
  </mergeCells>
  <phoneticPr fontId="2" type="noConversion"/>
  <dataValidations count="2">
    <dataValidation type="list" allowBlank="1" showInputMessage="1" showErrorMessage="1" sqref="W2" xr:uid="{00000000-0002-0000-0900-000000000000}">
      <formula1>시료종류</formula1>
    </dataValidation>
    <dataValidation type="list" allowBlank="1" showInputMessage="1" showErrorMessage="1" sqref="A33:C42" xr:uid="{0722B007-4BCE-4AEC-B78C-0A828F91D703}">
      <formula1>$AA$33:$AA$46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&amp;L&amp;"굴림체,보통"&amp;9fKET-QP-15-02-01(0)                                                  &amp;R한국종합환경산업(주)</oddFooter>
  </headerFooter>
  <rowBreaks count="1" manualBreakCount="1">
    <brk id="44" max="22" man="1"/>
  </rowBreaks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77"/>
  <sheetViews>
    <sheetView workbookViewId="0">
      <selection activeCell="L61" sqref="L61"/>
    </sheetView>
  </sheetViews>
  <sheetFormatPr defaultRowHeight="16.899999999999999"/>
  <cols>
    <col min="1" max="2" width="2.375" customWidth="1"/>
    <col min="3" max="3" width="4.375" customWidth="1"/>
    <col min="4" max="6" width="2.375" customWidth="1"/>
    <col min="7" max="7" width="4.375" customWidth="1"/>
    <col min="8" max="8" width="2.375" customWidth="1"/>
    <col min="9" max="9" width="4.75" customWidth="1"/>
    <col min="10" max="11" width="2.375" customWidth="1"/>
    <col min="12" max="12" width="3.75" customWidth="1"/>
    <col min="13" max="55" width="2.375" customWidth="1"/>
  </cols>
  <sheetData>
    <row r="1" spans="1:28" ht="14.25" customHeight="1">
      <c r="A1" t="s">
        <v>54</v>
      </c>
    </row>
    <row r="2" spans="1:28" ht="6" customHeight="1"/>
    <row r="3" spans="1:28" s="11" customFormat="1" ht="14.25" customHeight="1">
      <c r="A3" s="11" t="s">
        <v>55</v>
      </c>
    </row>
    <row r="4" spans="1:28" s="11" customFormat="1" ht="3.95" customHeight="1"/>
    <row r="5" spans="1:28" s="12" customFormat="1" ht="14.25" customHeight="1">
      <c r="M5" s="2191">
        <v>22.4</v>
      </c>
      <c r="N5" s="2191"/>
      <c r="O5" s="2191"/>
      <c r="P5" s="12" t="s">
        <v>63</v>
      </c>
    </row>
    <row r="6" spans="1:28" s="12" customFormat="1" ht="14.25" customHeight="1">
      <c r="A6" s="2192" t="s">
        <v>64</v>
      </c>
      <c r="B6" s="2192"/>
      <c r="C6" s="2193" t="s">
        <v>1</v>
      </c>
      <c r="D6" s="14"/>
      <c r="E6" s="14"/>
      <c r="F6" s="14"/>
      <c r="G6" s="14"/>
      <c r="H6" s="14"/>
      <c r="I6" s="14"/>
      <c r="J6" s="14"/>
      <c r="K6" s="14"/>
      <c r="L6" s="14"/>
      <c r="M6" s="2194">
        <v>18</v>
      </c>
      <c r="N6" s="2194"/>
      <c r="O6" s="2194"/>
      <c r="P6" s="14"/>
      <c r="Q6" s="18"/>
      <c r="R6" s="18"/>
      <c r="S6" s="18"/>
      <c r="T6" s="18"/>
      <c r="U6" s="18"/>
      <c r="V6" s="18"/>
      <c r="W6" s="2192" t="s">
        <v>57</v>
      </c>
      <c r="X6" s="2192"/>
      <c r="Y6" s="2192">
        <v>100</v>
      </c>
      <c r="Z6" s="2192"/>
      <c r="AA6" s="2192"/>
    </row>
    <row r="7" spans="1:28" s="12" customFormat="1" ht="15" customHeight="1">
      <c r="A7" s="2192"/>
      <c r="B7" s="2192"/>
      <c r="C7" s="2193"/>
      <c r="D7" s="2195" t="s">
        <v>60</v>
      </c>
      <c r="E7" s="2195"/>
      <c r="F7" s="2196" t="s">
        <v>58</v>
      </c>
      <c r="G7" s="2203">
        <v>273</v>
      </c>
      <c r="H7" s="2203"/>
      <c r="I7" s="2203"/>
      <c r="J7" s="2203"/>
      <c r="K7" s="2203"/>
      <c r="L7" s="2196" t="s">
        <v>58</v>
      </c>
      <c r="M7" s="2203" t="s">
        <v>62</v>
      </c>
      <c r="N7" s="2203"/>
      <c r="O7" s="17" t="s">
        <v>56</v>
      </c>
      <c r="P7" s="2204" t="s">
        <v>61</v>
      </c>
      <c r="Q7" s="2204"/>
      <c r="R7" s="2205" t="s">
        <v>56</v>
      </c>
      <c r="S7" s="2191">
        <v>22.4</v>
      </c>
      <c r="T7" s="2191"/>
      <c r="U7" s="2192" t="s">
        <v>63</v>
      </c>
      <c r="V7" s="2192"/>
      <c r="W7" s="2192"/>
      <c r="X7" s="2192"/>
      <c r="Y7" s="2192"/>
      <c r="Z7" s="2192"/>
      <c r="AA7" s="2192"/>
    </row>
    <row r="8" spans="1:28" s="12" customFormat="1" ht="14.25" customHeight="1">
      <c r="D8" s="2192"/>
      <c r="E8" s="2192"/>
      <c r="F8" s="2196"/>
      <c r="G8" s="2201">
        <v>273</v>
      </c>
      <c r="H8" s="2201"/>
      <c r="I8" s="13" t="s">
        <v>56</v>
      </c>
      <c r="J8" s="15" t="s">
        <v>59</v>
      </c>
      <c r="L8" s="2196"/>
      <c r="M8" s="2201">
        <v>760</v>
      </c>
      <c r="N8" s="2201"/>
      <c r="O8" s="2201"/>
      <c r="P8" s="2201"/>
      <c r="Q8" s="2201"/>
      <c r="R8" s="2205"/>
      <c r="S8" s="2192">
        <v>18</v>
      </c>
      <c r="T8" s="2192"/>
      <c r="U8" s="2192"/>
      <c r="V8" s="2192"/>
    </row>
    <row r="9" spans="1:28" s="12" customFormat="1" ht="14.25" customHeight="1"/>
    <row r="10" spans="1:28" s="12" customFormat="1" ht="14.25" customHeight="1">
      <c r="A10" s="2192" t="s">
        <v>5</v>
      </c>
      <c r="B10" s="2192"/>
      <c r="C10" s="2192"/>
      <c r="D10" s="2192"/>
      <c r="E10" s="16" t="s">
        <v>1</v>
      </c>
      <c r="F10" s="2202" t="e">
        <f>'먼지측정 사전 Data'!H59</f>
        <v>#DIV/0!</v>
      </c>
      <c r="G10" s="2202"/>
      <c r="H10" s="2202"/>
      <c r="I10" s="2202"/>
      <c r="J10" s="2202"/>
      <c r="K10" s="2192" t="s">
        <v>41</v>
      </c>
      <c r="L10" s="2192"/>
    </row>
    <row r="11" spans="1:28" s="12" customFormat="1" ht="14.25" customHeight="1">
      <c r="M11" s="2191">
        <v>22.4</v>
      </c>
      <c r="N11" s="2191"/>
      <c r="O11" s="2191"/>
      <c r="P11" s="2199">
        <f>'먼지측정 사전 Data'!H50</f>
        <v>0</v>
      </c>
      <c r="Q11" s="2199"/>
      <c r="R11" s="2199"/>
    </row>
    <row r="12" spans="1:28" s="12" customFormat="1" ht="14.25" customHeight="1">
      <c r="A12" s="2192" t="s">
        <v>64</v>
      </c>
      <c r="B12" s="2192"/>
      <c r="C12" s="2193" t="s">
        <v>1</v>
      </c>
      <c r="D12" s="18"/>
      <c r="E12" s="18"/>
      <c r="F12" s="18"/>
      <c r="G12" s="18"/>
      <c r="H12" s="18"/>
      <c r="I12" s="18"/>
      <c r="J12" s="18"/>
      <c r="K12" s="18"/>
      <c r="L12" s="18"/>
      <c r="M12" s="2194">
        <v>18</v>
      </c>
      <c r="N12" s="2194"/>
      <c r="O12" s="2194"/>
      <c r="P12" s="2200"/>
      <c r="Q12" s="2200"/>
      <c r="R12" s="2200"/>
      <c r="S12" s="18"/>
      <c r="T12" s="18"/>
      <c r="U12" s="18"/>
      <c r="V12" s="18"/>
      <c r="W12" s="18"/>
      <c r="X12" s="2192" t="s">
        <v>57</v>
      </c>
      <c r="Y12" s="2192"/>
      <c r="Z12" s="2192">
        <v>100</v>
      </c>
      <c r="AA12" s="2192"/>
      <c r="AB12" s="2192"/>
    </row>
    <row r="13" spans="1:28" s="12" customFormat="1" ht="14.25" customHeight="1">
      <c r="A13" s="2192"/>
      <c r="B13" s="2192"/>
      <c r="C13" s="2193"/>
      <c r="D13" s="2206">
        <f>'먼지측정 사전 Data'!H58</f>
        <v>0</v>
      </c>
      <c r="E13" s="2206"/>
      <c r="F13" s="2206"/>
      <c r="G13" s="2196" t="s">
        <v>58</v>
      </c>
      <c r="H13" s="2191">
        <v>273</v>
      </c>
      <c r="I13" s="2191"/>
      <c r="J13" s="2191"/>
      <c r="K13" s="2191"/>
      <c r="L13" s="2191"/>
      <c r="M13" s="2196" t="s">
        <v>58</v>
      </c>
      <c r="N13" s="2208">
        <f>'먼지측정 사전 Data'!H20</f>
        <v>0</v>
      </c>
      <c r="O13" s="2208"/>
      <c r="P13" s="17" t="s">
        <v>56</v>
      </c>
      <c r="Q13" s="2208">
        <f>'먼지측정 사전 Data'!O55</f>
        <v>0.87</v>
      </c>
      <c r="R13" s="2208"/>
      <c r="S13" s="2205" t="s">
        <v>56</v>
      </c>
      <c r="T13" s="2191">
        <v>22.4</v>
      </c>
      <c r="U13" s="2191"/>
      <c r="V13" s="2209">
        <f>P11</f>
        <v>0</v>
      </c>
      <c r="W13" s="2210"/>
      <c r="X13" s="2192"/>
      <c r="Y13" s="2192"/>
      <c r="Z13" s="2192"/>
      <c r="AA13" s="2192"/>
      <c r="AB13" s="2192"/>
    </row>
    <row r="14" spans="1:28" s="12" customFormat="1" ht="14.25" customHeight="1">
      <c r="D14" s="2206"/>
      <c r="E14" s="2206"/>
      <c r="F14" s="2206"/>
      <c r="G14" s="2196"/>
      <c r="H14" s="2192">
        <v>273</v>
      </c>
      <c r="I14" s="2192"/>
      <c r="J14" s="13" t="s">
        <v>56</v>
      </c>
      <c r="K14" s="2206">
        <f>'먼지측정 사전 Data'!H53</f>
        <v>0</v>
      </c>
      <c r="L14" s="2206"/>
      <c r="M14" s="2196"/>
      <c r="N14" s="2207">
        <v>760</v>
      </c>
      <c r="O14" s="2207"/>
      <c r="P14" s="2207"/>
      <c r="Q14" s="2207"/>
      <c r="R14" s="2207"/>
      <c r="S14" s="2205"/>
      <c r="T14" s="2192">
        <v>18</v>
      </c>
      <c r="U14" s="2192"/>
      <c r="V14" s="2210"/>
      <c r="W14" s="2210"/>
    </row>
    <row r="15" spans="1:28" s="12" customFormat="1" ht="14.25" customHeight="1">
      <c r="A15" s="12" t="s">
        <v>65</v>
      </c>
      <c r="X15" s="16"/>
    </row>
    <row r="16" spans="1:28" s="12" customFormat="1" ht="14.25" customHeight="1">
      <c r="M16" s="20"/>
      <c r="N16" s="20"/>
      <c r="O16" s="19"/>
      <c r="P16" s="2193"/>
      <c r="Q16" s="2193"/>
    </row>
    <row r="17" spans="2:23" s="12" customFormat="1" ht="14.25" customHeight="1">
      <c r="B17" s="2216" t="s">
        <v>69</v>
      </c>
      <c r="C17" s="2214"/>
      <c r="D17" s="2195" t="s">
        <v>68</v>
      </c>
      <c r="E17" s="2192"/>
      <c r="F17" s="2191">
        <v>273</v>
      </c>
      <c r="G17" s="2191"/>
      <c r="H17" s="2191"/>
      <c r="I17" s="2197" t="s">
        <v>58</v>
      </c>
      <c r="J17" s="2217" t="s">
        <v>70</v>
      </c>
      <c r="K17" s="2217"/>
      <c r="L17" s="18" t="s">
        <v>71</v>
      </c>
    </row>
    <row r="18" spans="2:23" s="12" customFormat="1" ht="14.25" customHeight="1">
      <c r="B18" s="2214"/>
      <c r="C18" s="2214"/>
      <c r="D18" s="2192"/>
      <c r="E18" s="2192"/>
      <c r="F18" s="12" t="s">
        <v>66</v>
      </c>
      <c r="H18" s="15" t="s">
        <v>67</v>
      </c>
      <c r="I18" s="2197"/>
      <c r="J18" s="2207">
        <v>760</v>
      </c>
      <c r="K18" s="2207"/>
      <c r="L18" s="2207"/>
    </row>
    <row r="19" spans="2:23" s="12" customFormat="1" ht="14.25" customHeight="1" thickBot="1"/>
    <row r="20" spans="2:23" s="12" customFormat="1" ht="14.25" customHeight="1">
      <c r="B20" s="2216" t="s">
        <v>72</v>
      </c>
      <c r="C20" s="2214"/>
      <c r="D20" s="2212" t="s">
        <v>73</v>
      </c>
      <c r="F20" s="2218" t="s">
        <v>74</v>
      </c>
      <c r="G20" s="2219"/>
      <c r="H20" s="2219"/>
    </row>
    <row r="21" spans="2:23" s="12" customFormat="1" ht="14.25" customHeight="1">
      <c r="B21" s="2214"/>
      <c r="C21" s="2214"/>
      <c r="D21" s="2212"/>
      <c r="F21" s="2211" t="s">
        <v>75</v>
      </c>
      <c r="G21" s="2212"/>
      <c r="H21" s="2212"/>
    </row>
    <row r="22" spans="2:23" s="12" customFormat="1" ht="14.25" customHeight="1"/>
    <row r="23" spans="2:23" s="12" customFormat="1" ht="14.25" customHeight="1">
      <c r="B23" s="12" t="s">
        <v>77</v>
      </c>
    </row>
    <row r="24" spans="2:23" s="12" customFormat="1" ht="14.25" customHeight="1"/>
    <row r="25" spans="2:23" s="12" customFormat="1" ht="14.25" customHeight="1">
      <c r="B25" s="2184" t="s">
        <v>78</v>
      </c>
      <c r="C25" s="2184"/>
      <c r="D25" s="2213" t="s">
        <v>79</v>
      </c>
      <c r="E25" s="2214"/>
      <c r="F25" s="2186" t="s">
        <v>80</v>
      </c>
      <c r="G25" s="2215"/>
      <c r="H25" s="2215"/>
      <c r="I25" s="2215"/>
      <c r="J25" s="2197" t="s">
        <v>58</v>
      </c>
      <c r="K25" s="2191">
        <v>18</v>
      </c>
      <c r="L25" s="2191"/>
    </row>
    <row r="26" spans="2:23" s="12" customFormat="1" ht="14.25" customHeight="1">
      <c r="B26" s="2184"/>
      <c r="C26" s="2184"/>
      <c r="D26" s="2214"/>
      <c r="E26" s="2214"/>
      <c r="F26" s="2192" t="s">
        <v>81</v>
      </c>
      <c r="G26" s="2192"/>
      <c r="H26" s="2192"/>
      <c r="I26" s="2192"/>
      <c r="J26" s="2197"/>
      <c r="K26" s="2207">
        <v>22.4</v>
      </c>
      <c r="L26" s="2207"/>
    </row>
    <row r="27" spans="2:23" s="12" customFormat="1" ht="14.25" customHeight="1"/>
    <row r="28" spans="2:23" s="12" customFormat="1" ht="14.25" customHeight="1"/>
    <row r="29" spans="2:23" s="12" customFormat="1" ht="15" customHeight="1">
      <c r="B29" s="2171" t="s">
        <v>82</v>
      </c>
      <c r="C29" s="2171"/>
      <c r="D29" s="2171"/>
      <c r="E29" s="22" t="s">
        <v>84</v>
      </c>
      <c r="F29" s="2189" t="s">
        <v>145</v>
      </c>
      <c r="G29" s="2189"/>
      <c r="H29" s="2189"/>
      <c r="I29" s="2189"/>
      <c r="J29" s="2189"/>
      <c r="K29" s="2189"/>
      <c r="L29" s="2189"/>
      <c r="M29" s="2189"/>
      <c r="N29" s="2189"/>
      <c r="O29" s="2189"/>
      <c r="P29" s="2189"/>
      <c r="Q29" s="2189"/>
      <c r="R29" s="2197" t="s">
        <v>58</v>
      </c>
      <c r="S29" s="2198" t="s">
        <v>85</v>
      </c>
      <c r="T29" s="2198"/>
      <c r="U29" s="2198"/>
      <c r="V29" s="2198"/>
      <c r="W29" s="2198"/>
    </row>
    <row r="30" spans="2:23" s="12" customFormat="1" ht="14.25" customHeight="1">
      <c r="B30" s="2171"/>
      <c r="C30" s="2171"/>
      <c r="D30" s="2171"/>
      <c r="F30" s="1236" t="s">
        <v>83</v>
      </c>
      <c r="G30" s="2190"/>
      <c r="H30" s="2190"/>
      <c r="I30" s="2190"/>
      <c r="J30" s="2190"/>
      <c r="K30" s="2190"/>
      <c r="L30" s="2190"/>
      <c r="M30" s="2190"/>
      <c r="N30" s="2190"/>
      <c r="O30" s="2190"/>
      <c r="P30" s="2190"/>
      <c r="Q30" s="2190"/>
      <c r="R30" s="2197"/>
      <c r="S30" s="2198"/>
      <c r="T30" s="2198"/>
      <c r="U30" s="2198"/>
      <c r="V30" s="2198"/>
      <c r="W30" s="2198"/>
    </row>
    <row r="31" spans="2:23" s="12" customFormat="1" ht="14.25" customHeight="1"/>
    <row r="32" spans="2:23" s="12" customFormat="1" ht="14.25" customHeight="1"/>
    <row r="33" spans="2:26" s="12" customFormat="1" ht="14.25" customHeight="1">
      <c r="B33" s="2171" t="s">
        <v>135</v>
      </c>
      <c r="C33" s="2171"/>
      <c r="D33" s="2171"/>
      <c r="E33" s="2185" t="s">
        <v>139</v>
      </c>
      <c r="F33" s="2185"/>
      <c r="G33" s="2185"/>
      <c r="H33" s="2179" t="s">
        <v>58</v>
      </c>
      <c r="I33" s="2181">
        <v>273</v>
      </c>
      <c r="J33" s="2181"/>
      <c r="K33" s="2181"/>
      <c r="L33" s="2181"/>
      <c r="M33" s="2179" t="s">
        <v>58</v>
      </c>
      <c r="N33" s="2188" t="s">
        <v>140</v>
      </c>
      <c r="O33" s="2181"/>
      <c r="P33" s="26" t="s">
        <v>141</v>
      </c>
      <c r="Q33" s="2179" t="s">
        <v>58</v>
      </c>
      <c r="R33" s="2185" t="s">
        <v>86</v>
      </c>
      <c r="S33" s="2184" t="s">
        <v>137</v>
      </c>
      <c r="T33" s="2186" t="s">
        <v>136</v>
      </c>
      <c r="U33" s="2181"/>
      <c r="V33" s="2187" t="s">
        <v>138</v>
      </c>
      <c r="W33" s="2179" t="s">
        <v>58</v>
      </c>
      <c r="X33" s="2180">
        <v>3600</v>
      </c>
      <c r="Y33" s="2180"/>
      <c r="Z33" s="2180"/>
    </row>
    <row r="34" spans="2:26" s="12" customFormat="1" ht="14.25" customHeight="1">
      <c r="B34" s="2171"/>
      <c r="C34" s="2171"/>
      <c r="D34" s="2171"/>
      <c r="E34" s="2185"/>
      <c r="F34" s="2185"/>
      <c r="G34" s="2185"/>
      <c r="H34" s="2179"/>
      <c r="I34" s="27" t="s">
        <v>142</v>
      </c>
      <c r="J34" s="27"/>
      <c r="K34" s="2179" t="s">
        <v>143</v>
      </c>
      <c r="L34" s="2179"/>
      <c r="M34" s="2179"/>
      <c r="N34" s="2183">
        <v>760</v>
      </c>
      <c r="O34" s="2183"/>
      <c r="P34" s="2183"/>
      <c r="Q34" s="2179"/>
      <c r="R34" s="2185"/>
      <c r="S34" s="2184"/>
      <c r="T34" s="2184">
        <v>100</v>
      </c>
      <c r="U34" s="2184"/>
      <c r="V34" s="2187"/>
      <c r="W34" s="2179"/>
      <c r="X34" s="2180"/>
      <c r="Y34" s="2180"/>
      <c r="Z34" s="2180"/>
    </row>
    <row r="35" spans="2:26" s="12" customFormat="1" ht="14.25" customHeight="1"/>
    <row r="36" spans="2:26" s="12" customFormat="1" ht="14.25" customHeight="1">
      <c r="B36" s="2171" t="s">
        <v>144</v>
      </c>
      <c r="C36" s="2171"/>
      <c r="D36" s="2171"/>
      <c r="E36" s="2181" t="s">
        <v>146</v>
      </c>
      <c r="F36" s="2181"/>
      <c r="G36" s="2181"/>
      <c r="H36" s="2181"/>
      <c r="I36" s="2181"/>
      <c r="J36" s="2181"/>
      <c r="K36" s="2181"/>
      <c r="L36" s="2181"/>
      <c r="M36" s="2181"/>
      <c r="N36" s="2181"/>
      <c r="O36" s="2181"/>
      <c r="P36" s="2181"/>
      <c r="Q36" s="2181"/>
    </row>
    <row r="37" spans="2:26" s="12" customFormat="1" ht="14.25" customHeight="1">
      <c r="B37" s="2171"/>
      <c r="C37" s="2171"/>
      <c r="D37" s="2171"/>
      <c r="E37" s="2183" t="s">
        <v>147</v>
      </c>
      <c r="F37" s="2183"/>
      <c r="G37" s="2183"/>
      <c r="H37" s="2181">
        <v>273</v>
      </c>
      <c r="I37" s="2181"/>
      <c r="J37" s="2181"/>
      <c r="K37" s="2181"/>
      <c r="L37" s="2179" t="s">
        <v>58</v>
      </c>
      <c r="M37" s="2181" t="s">
        <v>157</v>
      </c>
      <c r="N37" s="2181"/>
      <c r="O37" s="2181"/>
      <c r="P37" s="2181"/>
      <c r="Q37" s="2181"/>
    </row>
    <row r="38" spans="2:26" s="12" customFormat="1" ht="14.25" customHeight="1">
      <c r="B38" s="2171"/>
      <c r="C38" s="2171"/>
      <c r="D38" s="2171"/>
      <c r="E38" s="2184"/>
      <c r="F38" s="2184"/>
      <c r="G38" s="2184"/>
      <c r="H38" s="2182" t="s">
        <v>66</v>
      </c>
      <c r="I38" s="2182"/>
      <c r="J38" s="2179" t="s">
        <v>59</v>
      </c>
      <c r="K38" s="2179"/>
      <c r="L38" s="2179"/>
      <c r="M38" s="2183">
        <v>760</v>
      </c>
      <c r="N38" s="2183"/>
      <c r="O38" s="2183"/>
      <c r="P38" s="2183"/>
      <c r="Q38" s="2183"/>
    </row>
    <row r="39" spans="2:26" s="12" customFormat="1" ht="14.25" customHeight="1"/>
    <row r="40" spans="2:26" s="12" customFormat="1" ht="14.25" customHeight="1"/>
    <row r="41" spans="2:26" ht="14.25" customHeight="1">
      <c r="C41" s="28"/>
      <c r="D41" s="28"/>
    </row>
    <row r="42" spans="2:26" ht="15" customHeight="1">
      <c r="B42" s="2173" t="s">
        <v>148</v>
      </c>
      <c r="C42" s="2173"/>
      <c r="D42" s="2173"/>
      <c r="E42" s="2172" t="s">
        <v>150</v>
      </c>
      <c r="F42" s="2172"/>
      <c r="G42" s="2172"/>
      <c r="H42" s="2174" t="s">
        <v>149</v>
      </c>
      <c r="I42" s="2175"/>
      <c r="J42" s="2176" t="s">
        <v>151</v>
      </c>
      <c r="K42" s="2176"/>
    </row>
    <row r="43" spans="2:26" ht="15" customHeight="1">
      <c r="B43" s="2173"/>
      <c r="C43" s="2173"/>
      <c r="D43" s="2173"/>
      <c r="E43" s="2172"/>
      <c r="F43" s="2172"/>
      <c r="G43" s="2172"/>
      <c r="H43" s="2178" t="s">
        <v>153</v>
      </c>
      <c r="I43" s="2178"/>
      <c r="J43" s="2177" t="s">
        <v>152</v>
      </c>
      <c r="K43" s="2177"/>
    </row>
    <row r="44" spans="2:26" ht="14.25" customHeight="1"/>
    <row r="45" spans="2:26" ht="14.25" customHeight="1"/>
    <row r="46" spans="2:26" ht="14.25" customHeight="1">
      <c r="B46" s="2173" t="s">
        <v>155</v>
      </c>
      <c r="C46" s="2173"/>
      <c r="D46" s="2173"/>
      <c r="E46" s="2172" t="s">
        <v>156</v>
      </c>
      <c r="F46" s="2172"/>
      <c r="G46" s="2172"/>
      <c r="H46" s="2174" t="s">
        <v>149</v>
      </c>
      <c r="I46" s="2175"/>
      <c r="J46" s="2176" t="s">
        <v>151</v>
      </c>
      <c r="K46" s="2176"/>
    </row>
    <row r="47" spans="2:26" ht="14.25" customHeight="1">
      <c r="B47" s="2173"/>
      <c r="C47" s="2173"/>
      <c r="D47" s="2173"/>
      <c r="E47" s="2172"/>
      <c r="F47" s="2172"/>
      <c r="G47" s="2172"/>
      <c r="H47" s="2178" t="s">
        <v>153</v>
      </c>
      <c r="I47" s="2178"/>
      <c r="J47" s="2177" t="s">
        <v>152</v>
      </c>
      <c r="K47" s="2177"/>
    </row>
    <row r="48" spans="2:26" ht="14.25" customHeight="1"/>
    <row r="49" spans="3:12" ht="14.25" customHeight="1"/>
    <row r="50" spans="3:12" ht="14.25" customHeight="1">
      <c r="C50" s="2221" t="s">
        <v>0</v>
      </c>
      <c r="D50" s="2221"/>
      <c r="E50" s="2221"/>
      <c r="F50" s="2221"/>
      <c r="G50" s="2221"/>
      <c r="H50" s="2221"/>
      <c r="I50" s="2221"/>
      <c r="J50" s="2221"/>
      <c r="K50" s="2221"/>
      <c r="L50" s="2221"/>
    </row>
    <row r="51" spans="3:12" ht="14.25" customHeight="1">
      <c r="C51" s="23"/>
      <c r="D51" s="1247" t="s">
        <v>99</v>
      </c>
      <c r="E51" s="1247"/>
      <c r="F51" s="1247"/>
      <c r="G51" s="1247" t="s">
        <v>100</v>
      </c>
      <c r="H51" s="1247"/>
      <c r="I51" s="1247"/>
      <c r="J51" s="1247" t="s">
        <v>101</v>
      </c>
      <c r="K51" s="1247"/>
      <c r="L51" s="1247"/>
    </row>
    <row r="52" spans="3:12" ht="14.25" customHeight="1">
      <c r="C52" s="24" t="s">
        <v>19</v>
      </c>
      <c r="D52" s="1247">
        <v>0.125</v>
      </c>
      <c r="E52" s="1247"/>
      <c r="F52" s="1247"/>
      <c r="G52" s="2220">
        <f t="shared" ref="G52:G57" si="0">D52*2.54</f>
        <v>0.3175</v>
      </c>
      <c r="H52" s="2220"/>
      <c r="I52" s="2220"/>
      <c r="J52" s="1247">
        <f t="shared" ref="J52:J57" si="1">G52*10</f>
        <v>3.1749999999999998</v>
      </c>
      <c r="K52" s="1247"/>
      <c r="L52" s="1247"/>
    </row>
    <row r="53" spans="3:12" ht="14.25" customHeight="1">
      <c r="C53" s="24" t="s">
        <v>21</v>
      </c>
      <c r="D53" s="1247">
        <v>0.188</v>
      </c>
      <c r="E53" s="1247"/>
      <c r="F53" s="1247"/>
      <c r="G53" s="2220">
        <f t="shared" si="0"/>
        <v>0.47752</v>
      </c>
      <c r="H53" s="2220"/>
      <c r="I53" s="2220"/>
      <c r="J53" s="1247">
        <f t="shared" si="1"/>
        <v>4.7751999999999999</v>
      </c>
      <c r="K53" s="1247"/>
      <c r="L53" s="1247"/>
    </row>
    <row r="54" spans="3:12" ht="14.25" customHeight="1">
      <c r="C54" s="24" t="s">
        <v>23</v>
      </c>
      <c r="D54" s="1247">
        <v>0.25</v>
      </c>
      <c r="E54" s="1247"/>
      <c r="F54" s="1247"/>
      <c r="G54" s="2220">
        <f t="shared" si="0"/>
        <v>0.63500000000000001</v>
      </c>
      <c r="H54" s="2220"/>
      <c r="I54" s="2220"/>
      <c r="J54" s="1247">
        <f t="shared" si="1"/>
        <v>6.35</v>
      </c>
      <c r="K54" s="1247"/>
      <c r="L54" s="1247"/>
    </row>
    <row r="55" spans="3:12" ht="14.25" customHeight="1">
      <c r="C55" s="24" t="s">
        <v>25</v>
      </c>
      <c r="D55" s="1247">
        <v>0.313</v>
      </c>
      <c r="E55" s="1247"/>
      <c r="F55" s="1247"/>
      <c r="G55" s="2220">
        <f t="shared" si="0"/>
        <v>0.79502000000000006</v>
      </c>
      <c r="H55" s="2220"/>
      <c r="I55" s="2220"/>
      <c r="J55" s="1247">
        <f t="shared" si="1"/>
        <v>7.9502000000000006</v>
      </c>
      <c r="K55" s="1247"/>
      <c r="L55" s="1247"/>
    </row>
    <row r="56" spans="3:12" ht="14.25" customHeight="1">
      <c r="C56" s="24" t="s">
        <v>27</v>
      </c>
      <c r="D56" s="1247">
        <v>0.375</v>
      </c>
      <c r="E56" s="1247"/>
      <c r="F56" s="1247"/>
      <c r="G56" s="2220">
        <f t="shared" si="0"/>
        <v>0.95250000000000001</v>
      </c>
      <c r="H56" s="2220"/>
      <c r="I56" s="2220"/>
      <c r="J56" s="1247">
        <f t="shared" si="1"/>
        <v>9.5250000000000004</v>
      </c>
      <c r="K56" s="1247"/>
      <c r="L56" s="1247"/>
    </row>
    <row r="57" spans="3:12" ht="14.25" customHeight="1">
      <c r="C57" s="24" t="s">
        <v>35</v>
      </c>
      <c r="D57" s="1247">
        <v>0.5</v>
      </c>
      <c r="E57" s="1247"/>
      <c r="F57" s="1247"/>
      <c r="G57" s="2220">
        <f t="shared" si="0"/>
        <v>1.27</v>
      </c>
      <c r="H57" s="2220"/>
      <c r="I57" s="2220"/>
      <c r="J57" s="1247">
        <f t="shared" si="1"/>
        <v>12.7</v>
      </c>
      <c r="K57" s="1247"/>
      <c r="L57" s="1247"/>
    </row>
    <row r="58" spans="3:12" ht="14.25" customHeight="1"/>
    <row r="59" spans="3:12" ht="14.25" customHeight="1"/>
    <row r="60" spans="3:12" ht="14.25" customHeight="1"/>
    <row r="61" spans="3:12" ht="14.25" customHeight="1"/>
    <row r="62" spans="3:12" ht="14.25" customHeight="1"/>
    <row r="63" spans="3:12" ht="14.25" customHeight="1"/>
    <row r="64" spans="3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</sheetData>
  <mergeCells count="123">
    <mergeCell ref="C50:L50"/>
    <mergeCell ref="D51:F51"/>
    <mergeCell ref="G51:I51"/>
    <mergeCell ref="J51:L51"/>
    <mergeCell ref="D52:F52"/>
    <mergeCell ref="G52:I52"/>
    <mergeCell ref="J52:L52"/>
    <mergeCell ref="D53:F53"/>
    <mergeCell ref="G53:I53"/>
    <mergeCell ref="J53:L53"/>
    <mergeCell ref="D57:F57"/>
    <mergeCell ref="G57:I57"/>
    <mergeCell ref="J57:L57"/>
    <mergeCell ref="D54:F54"/>
    <mergeCell ref="G54:I54"/>
    <mergeCell ref="J54:L54"/>
    <mergeCell ref="D55:F55"/>
    <mergeCell ref="G55:I55"/>
    <mergeCell ref="J55:L55"/>
    <mergeCell ref="D56:F56"/>
    <mergeCell ref="G56:I56"/>
    <mergeCell ref="J56:L56"/>
    <mergeCell ref="K25:L25"/>
    <mergeCell ref="K26:L26"/>
    <mergeCell ref="F21:H21"/>
    <mergeCell ref="B25:C26"/>
    <mergeCell ref="D25:E26"/>
    <mergeCell ref="F25:I25"/>
    <mergeCell ref="F26:I26"/>
    <mergeCell ref="J25:J26"/>
    <mergeCell ref="D17:E18"/>
    <mergeCell ref="B17:C18"/>
    <mergeCell ref="I17:I18"/>
    <mergeCell ref="J18:L18"/>
    <mergeCell ref="J17:K17"/>
    <mergeCell ref="B20:C21"/>
    <mergeCell ref="D20:D21"/>
    <mergeCell ref="F20:H20"/>
    <mergeCell ref="P16:Q16"/>
    <mergeCell ref="F17:H17"/>
    <mergeCell ref="Z12:AB13"/>
    <mergeCell ref="D13:F14"/>
    <mergeCell ref="G13:G14"/>
    <mergeCell ref="H13:L13"/>
    <mergeCell ref="M13:M14"/>
    <mergeCell ref="N13:O13"/>
    <mergeCell ref="Q13:R13"/>
    <mergeCell ref="S13:S14"/>
    <mergeCell ref="T13:U13"/>
    <mergeCell ref="V13:W14"/>
    <mergeCell ref="L7:L8"/>
    <mergeCell ref="M7:N7"/>
    <mergeCell ref="P7:Q7"/>
    <mergeCell ref="R7:R8"/>
    <mergeCell ref="S7:T7"/>
    <mergeCell ref="H14:I14"/>
    <mergeCell ref="K14:L14"/>
    <mergeCell ref="N14:R14"/>
    <mergeCell ref="T14:U14"/>
    <mergeCell ref="M5:O5"/>
    <mergeCell ref="A6:B7"/>
    <mergeCell ref="C6:C7"/>
    <mergeCell ref="M6:O6"/>
    <mergeCell ref="W6:X7"/>
    <mergeCell ref="Y6:AA7"/>
    <mergeCell ref="D7:E8"/>
    <mergeCell ref="F7:F8"/>
    <mergeCell ref="R29:R30"/>
    <mergeCell ref="S29:W30"/>
    <mergeCell ref="M11:O11"/>
    <mergeCell ref="P11:R12"/>
    <mergeCell ref="A12:B13"/>
    <mergeCell ref="C12:C13"/>
    <mergeCell ref="M12:O12"/>
    <mergeCell ref="X12:Y13"/>
    <mergeCell ref="U7:V8"/>
    <mergeCell ref="G8:H8"/>
    <mergeCell ref="M8:Q8"/>
    <mergeCell ref="S8:T8"/>
    <mergeCell ref="A10:D10"/>
    <mergeCell ref="F10:J10"/>
    <mergeCell ref="K10:L10"/>
    <mergeCell ref="G7:K7"/>
    <mergeCell ref="B33:D34"/>
    <mergeCell ref="K34:L34"/>
    <mergeCell ref="I33:L33"/>
    <mergeCell ref="M33:M34"/>
    <mergeCell ref="N33:O33"/>
    <mergeCell ref="N34:P34"/>
    <mergeCell ref="B29:D30"/>
    <mergeCell ref="F29:Q29"/>
    <mergeCell ref="F30:Q30"/>
    <mergeCell ref="W33:W34"/>
    <mergeCell ref="X33:Z34"/>
    <mergeCell ref="J38:K38"/>
    <mergeCell ref="H37:K37"/>
    <mergeCell ref="H38:I38"/>
    <mergeCell ref="L37:L38"/>
    <mergeCell ref="M37:Q37"/>
    <mergeCell ref="M38:Q38"/>
    <mergeCell ref="E36:Q36"/>
    <mergeCell ref="E37:G38"/>
    <mergeCell ref="Q33:Q34"/>
    <mergeCell ref="H33:H34"/>
    <mergeCell ref="E33:G34"/>
    <mergeCell ref="T33:U33"/>
    <mergeCell ref="T34:U34"/>
    <mergeCell ref="R33:R34"/>
    <mergeCell ref="S33:S34"/>
    <mergeCell ref="V33:V34"/>
    <mergeCell ref="B36:D38"/>
    <mergeCell ref="E42:G43"/>
    <mergeCell ref="B42:D43"/>
    <mergeCell ref="H42:I42"/>
    <mergeCell ref="J42:K42"/>
    <mergeCell ref="J43:K43"/>
    <mergeCell ref="H43:I43"/>
    <mergeCell ref="B46:D47"/>
    <mergeCell ref="E46:G47"/>
    <mergeCell ref="H46:I46"/>
    <mergeCell ref="J46:K46"/>
    <mergeCell ref="H47:I47"/>
    <mergeCell ref="J47:K4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W42"/>
  <sheetViews>
    <sheetView view="pageBreakPreview" zoomScaleNormal="100" zoomScaleSheetLayoutView="100" workbookViewId="0">
      <selection activeCell="X28" sqref="X28"/>
    </sheetView>
  </sheetViews>
  <sheetFormatPr defaultRowHeight="16.899999999999999"/>
  <cols>
    <col min="1" max="3" width="5.125" customWidth="1"/>
    <col min="4" max="4" width="1.75" customWidth="1"/>
    <col min="5" max="11" width="5.125" customWidth="1"/>
    <col min="12" max="12" width="1.875" bestFit="1" customWidth="1"/>
    <col min="13" max="13" width="4.75" customWidth="1"/>
    <col min="14" max="48" width="5.125" customWidth="1"/>
    <col min="49" max="57" width="2.75" customWidth="1"/>
  </cols>
  <sheetData>
    <row r="1" spans="1:49" ht="21" customHeight="1">
      <c r="A1" s="2229" t="s">
        <v>650</v>
      </c>
      <c r="B1" s="2229"/>
      <c r="C1" s="2229"/>
      <c r="D1" s="2229"/>
      <c r="E1" s="2229"/>
      <c r="F1" s="2229"/>
      <c r="G1" s="2229"/>
      <c r="H1" s="2229"/>
      <c r="I1" s="2229"/>
      <c r="J1" s="2229"/>
      <c r="K1" s="2229"/>
      <c r="L1" s="2229"/>
      <c r="M1" s="2230" t="s">
        <v>849</v>
      </c>
      <c r="N1" s="2230"/>
      <c r="O1" s="2230" t="s">
        <v>850</v>
      </c>
      <c r="P1" s="2230"/>
      <c r="Q1" s="429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</row>
    <row r="2" spans="1:49" ht="31.5" customHeight="1">
      <c r="A2" s="2229"/>
      <c r="B2" s="2229"/>
      <c r="C2" s="2229"/>
      <c r="D2" s="2229"/>
      <c r="E2" s="2229"/>
      <c r="F2" s="2229"/>
      <c r="G2" s="2229"/>
      <c r="H2" s="2229"/>
      <c r="I2" s="2229"/>
      <c r="J2" s="2229"/>
      <c r="K2" s="2229"/>
      <c r="L2" s="2229"/>
      <c r="M2" s="2230"/>
      <c r="N2" s="2230"/>
      <c r="O2" s="2230"/>
      <c r="P2" s="2230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</row>
    <row r="3" spans="1:49">
      <c r="A3" s="149"/>
      <c r="B3" s="20" t="s">
        <v>513</v>
      </c>
      <c r="C3" s="20"/>
      <c r="D3" s="20" t="s">
        <v>15</v>
      </c>
      <c r="E3" s="20" t="s">
        <v>375</v>
      </c>
      <c r="F3" s="20" t="s">
        <v>788</v>
      </c>
      <c r="G3" s="20"/>
      <c r="H3" s="20"/>
      <c r="I3" s="20"/>
      <c r="J3" s="15" t="s">
        <v>515</v>
      </c>
      <c r="K3" s="15"/>
      <c r="L3" s="51" t="s">
        <v>46</v>
      </c>
      <c r="M3" s="2226">
        <f>'먼지측정 사전 Data'!N5</f>
        <v>0</v>
      </c>
      <c r="N3" s="2226"/>
      <c r="O3" s="2226"/>
      <c r="P3" s="2226"/>
      <c r="T3" s="150"/>
      <c r="U3" s="20"/>
      <c r="V3" s="20"/>
      <c r="W3" s="20"/>
      <c r="X3" s="20"/>
      <c r="Y3" s="20"/>
      <c r="AG3" s="150"/>
      <c r="AH3" s="150"/>
      <c r="AI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49"/>
    </row>
    <row r="4" spans="1:49">
      <c r="A4" s="149"/>
      <c r="B4" s="15" t="s">
        <v>637</v>
      </c>
      <c r="C4" s="15"/>
      <c r="D4" s="51" t="s">
        <v>15</v>
      </c>
      <c r="E4" s="51" t="str">
        <f>IF(E3="","",INDEX('대기측정 분석결과서'!$Z$23:$Z$72,MATCH(E3,측정항목,0)))</f>
        <v>ES 01507.1d</v>
      </c>
      <c r="F4" s="151"/>
      <c r="G4" s="15"/>
      <c r="H4" s="15"/>
      <c r="I4" s="15"/>
      <c r="J4" s="15" t="s">
        <v>517</v>
      </c>
      <c r="K4" s="15"/>
      <c r="L4" s="51" t="s">
        <v>46</v>
      </c>
      <c r="M4" s="2226">
        <f>'먼지측정 사전 Data'!N6</f>
        <v>46059</v>
      </c>
      <c r="N4" s="2226"/>
      <c r="O4" s="2226"/>
      <c r="P4" s="2226"/>
      <c r="T4" s="150"/>
      <c r="U4" s="15"/>
      <c r="V4" s="15"/>
      <c r="W4" s="20"/>
      <c r="X4" s="20"/>
      <c r="Y4" s="20"/>
      <c r="AG4" s="150"/>
      <c r="AH4" s="150"/>
      <c r="AI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49"/>
    </row>
    <row r="5" spans="1:49">
      <c r="A5" s="152"/>
      <c r="B5" s="20" t="s">
        <v>651</v>
      </c>
      <c r="C5" s="20"/>
      <c r="D5" s="20" t="s">
        <v>15</v>
      </c>
      <c r="E5" s="2227" t="s">
        <v>664</v>
      </c>
      <c r="F5" s="2227"/>
      <c r="G5" s="20"/>
      <c r="H5" s="20"/>
      <c r="I5" s="20"/>
      <c r="J5" s="15" t="s">
        <v>519</v>
      </c>
      <c r="K5" s="15"/>
      <c r="L5" s="51" t="s">
        <v>46</v>
      </c>
      <c r="M5" s="2226">
        <f>M3</f>
        <v>0</v>
      </c>
      <c r="N5" s="2226"/>
      <c r="O5" s="2226"/>
      <c r="P5" s="2226"/>
      <c r="T5" s="150"/>
      <c r="U5" s="145"/>
      <c r="V5" s="145"/>
      <c r="W5" s="145"/>
      <c r="X5" s="145"/>
      <c r="Y5" s="145"/>
      <c r="AG5" s="150"/>
      <c r="AH5" s="150"/>
      <c r="AI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3"/>
    </row>
    <row r="6" spans="1:49">
      <c r="A6" s="149"/>
      <c r="B6" s="20" t="s">
        <v>653</v>
      </c>
      <c r="C6" s="20"/>
      <c r="D6" s="52" t="s">
        <v>15</v>
      </c>
      <c r="E6" s="53" t="str">
        <f>'옵티마 시험일지'!I6</f>
        <v/>
      </c>
      <c r="F6" s="53"/>
      <c r="G6" s="53"/>
      <c r="H6" s="53"/>
      <c r="I6" s="53"/>
      <c r="J6" s="53" t="s">
        <v>735</v>
      </c>
      <c r="K6" s="53"/>
      <c r="L6" s="53" t="s">
        <v>15</v>
      </c>
      <c r="M6" s="2228" t="str">
        <f>'옵티마 시험일지'!I7</f>
        <v>KGAR-26-0-0</v>
      </c>
      <c r="N6" s="2228"/>
      <c r="O6" s="2228"/>
      <c r="P6" s="2228"/>
      <c r="T6" s="53"/>
      <c r="U6" s="54"/>
      <c r="V6" s="54"/>
      <c r="W6" s="20"/>
      <c r="X6" s="20"/>
      <c r="Y6" s="20"/>
      <c r="Z6" s="51"/>
      <c r="AA6" s="51"/>
      <c r="AB6" s="51"/>
      <c r="AC6" s="51"/>
      <c r="AD6" s="51"/>
      <c r="AE6" s="150"/>
      <c r="AF6" s="150"/>
      <c r="AG6" s="150"/>
      <c r="AH6" s="150"/>
      <c r="AI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4"/>
    </row>
    <row r="7" spans="1:49" ht="7.5" customHeight="1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5"/>
      <c r="N7" s="155"/>
      <c r="O7" s="155"/>
      <c r="P7" s="155"/>
      <c r="Q7" s="155"/>
      <c r="R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</row>
    <row r="8" spans="1:49">
      <c r="A8" s="2231" t="s">
        <v>654</v>
      </c>
      <c r="B8" s="2222"/>
      <c r="C8" s="2222"/>
      <c r="D8" s="2222" t="s">
        <v>655</v>
      </c>
      <c r="E8" s="2222"/>
      <c r="F8" s="2222"/>
      <c r="G8" s="2222"/>
      <c r="H8" s="2222"/>
      <c r="I8" s="2222" t="s">
        <v>656</v>
      </c>
      <c r="J8" s="2222"/>
      <c r="K8" s="2222"/>
      <c r="L8" s="2222"/>
      <c r="M8" s="2234" t="s">
        <v>657</v>
      </c>
      <c r="N8" s="2234"/>
      <c r="O8" s="2222" t="s">
        <v>658</v>
      </c>
      <c r="P8" s="2222"/>
      <c r="Q8" s="2235"/>
      <c r="R8" s="156"/>
      <c r="AT8" s="156"/>
      <c r="AU8" s="156"/>
      <c r="AV8" s="156"/>
      <c r="AW8" s="156"/>
    </row>
    <row r="9" spans="1:49">
      <c r="A9" s="2232"/>
      <c r="B9" s="2223"/>
      <c r="C9" s="2223"/>
      <c r="D9" s="2223"/>
      <c r="E9" s="2223"/>
      <c r="F9" s="2223"/>
      <c r="G9" s="2223"/>
      <c r="H9" s="2223"/>
      <c r="I9" s="2223"/>
      <c r="J9" s="2223"/>
      <c r="K9" s="2223"/>
      <c r="L9" s="2223"/>
      <c r="M9" s="2233" t="s">
        <v>659</v>
      </c>
      <c r="N9" s="2233"/>
      <c r="O9" s="2223"/>
      <c r="P9" s="2223"/>
      <c r="Q9" s="2236"/>
      <c r="R9" s="156"/>
      <c r="AT9" s="156"/>
      <c r="AU9" s="156"/>
      <c r="AV9" s="156"/>
      <c r="AW9" s="156"/>
    </row>
    <row r="10" spans="1:49">
      <c r="A10" s="2237">
        <f>'대기측정 분석결과서'!E4</f>
        <v>0</v>
      </c>
      <c r="B10" s="2238"/>
      <c r="C10" s="2238"/>
      <c r="D10" s="2238" t="str">
        <f>'대기측정 분석결과서'!E9&amp;'대기측정 분석결과서'!H13</f>
        <v/>
      </c>
      <c r="E10" s="2238"/>
      <c r="F10" s="2238"/>
      <c r="G10" s="2238"/>
      <c r="H10" s="2238"/>
      <c r="I10" s="2239" t="s">
        <v>375</v>
      </c>
      <c r="J10" s="2239"/>
      <c r="K10" s="2239"/>
      <c r="L10" s="2239"/>
      <c r="M10" s="2241">
        <f>'대기측정 분석결과서'!G28</f>
        <v>0</v>
      </c>
      <c r="N10" s="2241"/>
      <c r="O10" s="2224"/>
      <c r="P10" s="2224"/>
      <c r="Q10" s="2225"/>
      <c r="R10" s="157"/>
      <c r="AT10" s="158"/>
      <c r="AU10" s="158"/>
      <c r="AV10" s="158"/>
      <c r="AW10" s="158"/>
    </row>
    <row r="11" spans="1:49">
      <c r="A11" s="2237"/>
      <c r="B11" s="2238"/>
      <c r="C11" s="2238"/>
      <c r="D11" s="2238"/>
      <c r="E11" s="2238"/>
      <c r="F11" s="2238"/>
      <c r="G11" s="2238"/>
      <c r="H11" s="2238"/>
      <c r="I11" s="2239"/>
      <c r="J11" s="2239"/>
      <c r="K11" s="2239"/>
      <c r="L11" s="2239"/>
      <c r="M11" s="2240"/>
      <c r="N11" s="2240"/>
      <c r="O11" s="2224"/>
      <c r="P11" s="2224"/>
      <c r="Q11" s="2225" t="s">
        <v>660</v>
      </c>
      <c r="R11" s="157"/>
      <c r="S11" s="155" t="s">
        <v>652</v>
      </c>
      <c r="AT11" s="155"/>
      <c r="AU11" s="155"/>
      <c r="AV11" s="155"/>
      <c r="AW11" s="155"/>
    </row>
    <row r="12" spans="1:49">
      <c r="A12" s="2237"/>
      <c r="B12" s="2238"/>
      <c r="C12" s="2238"/>
      <c r="D12" s="2238"/>
      <c r="E12" s="2238"/>
      <c r="F12" s="2238"/>
      <c r="G12" s="2238"/>
      <c r="H12" s="2238"/>
      <c r="I12" s="2239"/>
      <c r="J12" s="2239"/>
      <c r="K12" s="2239"/>
      <c r="L12" s="2239"/>
      <c r="M12" s="2240"/>
      <c r="N12" s="2240"/>
      <c r="O12" s="2224"/>
      <c r="P12" s="2224"/>
      <c r="Q12" s="2225"/>
      <c r="R12" s="157"/>
      <c r="S12" t="s">
        <v>663</v>
      </c>
      <c r="T12" s="157"/>
      <c r="U12" s="157"/>
      <c r="V12" s="157"/>
      <c r="W12" s="157"/>
      <c r="X12" s="157"/>
      <c r="Y12" s="157"/>
      <c r="Z12" s="157"/>
      <c r="AA12" s="157"/>
      <c r="AB12" s="155"/>
      <c r="AC12" s="155"/>
      <c r="AD12" s="155"/>
      <c r="AE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</row>
    <row r="13" spans="1:49">
      <c r="A13" s="2237"/>
      <c r="B13" s="2238"/>
      <c r="C13" s="2238"/>
      <c r="D13" s="2238"/>
      <c r="E13" s="2238"/>
      <c r="F13" s="2238"/>
      <c r="G13" s="2238"/>
      <c r="H13" s="2238"/>
      <c r="I13" s="2239"/>
      <c r="J13" s="2239"/>
      <c r="K13" s="2239"/>
      <c r="L13" s="2239"/>
      <c r="M13" s="2240"/>
      <c r="N13" s="2240"/>
      <c r="O13" s="2224"/>
      <c r="P13" s="2224"/>
      <c r="Q13" s="2225"/>
      <c r="R13" s="156"/>
      <c r="S13" s="156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</row>
    <row r="14" spans="1:49">
      <c r="A14" s="2237"/>
      <c r="B14" s="2238"/>
      <c r="C14" s="2238"/>
      <c r="D14" s="2238"/>
      <c r="E14" s="2238"/>
      <c r="F14" s="2238"/>
      <c r="G14" s="2238"/>
      <c r="H14" s="2238"/>
      <c r="I14" s="2239"/>
      <c r="J14" s="2239"/>
      <c r="K14" s="2239"/>
      <c r="L14" s="2239"/>
      <c r="M14" s="2240"/>
      <c r="N14" s="2240"/>
      <c r="O14" s="2224"/>
      <c r="P14" s="2224"/>
      <c r="Q14" s="2225"/>
      <c r="R14" s="156"/>
      <c r="S14" s="156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</row>
    <row r="15" spans="1:49">
      <c r="A15" s="2237"/>
      <c r="B15" s="2238"/>
      <c r="C15" s="2238"/>
      <c r="D15" s="2238"/>
      <c r="E15" s="2238"/>
      <c r="F15" s="2238"/>
      <c r="G15" s="2238"/>
      <c r="H15" s="2238"/>
      <c r="I15" s="2239"/>
      <c r="J15" s="2239"/>
      <c r="K15" s="2239"/>
      <c r="L15" s="2239"/>
      <c r="M15" s="2240"/>
      <c r="N15" s="2240"/>
      <c r="O15" s="2224"/>
      <c r="P15" s="2224"/>
      <c r="Q15" s="2225"/>
      <c r="R15" s="156"/>
      <c r="S15" s="156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</row>
    <row r="16" spans="1:49">
      <c r="A16" s="2237"/>
      <c r="B16" s="2238"/>
      <c r="C16" s="2238"/>
      <c r="D16" s="2238"/>
      <c r="E16" s="2238"/>
      <c r="F16" s="2238"/>
      <c r="G16" s="2238"/>
      <c r="H16" s="2238"/>
      <c r="I16" s="2239"/>
      <c r="J16" s="2239"/>
      <c r="K16" s="2239"/>
      <c r="L16" s="2239"/>
      <c r="M16" s="2240"/>
      <c r="N16" s="2240"/>
      <c r="O16" s="2224"/>
      <c r="P16" s="2224"/>
      <c r="Q16" s="2225"/>
      <c r="R16" s="156"/>
      <c r="S16" s="156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</row>
    <row r="17" spans="1:49">
      <c r="A17" s="2237"/>
      <c r="B17" s="2238"/>
      <c r="C17" s="2238"/>
      <c r="D17" s="2238"/>
      <c r="E17" s="2238"/>
      <c r="F17" s="2238"/>
      <c r="G17" s="2238"/>
      <c r="H17" s="2238"/>
      <c r="I17" s="2239"/>
      <c r="J17" s="2239"/>
      <c r="K17" s="2239"/>
      <c r="L17" s="2239"/>
      <c r="M17" s="2240"/>
      <c r="N17" s="2240"/>
      <c r="O17" s="2224"/>
      <c r="P17" s="2224"/>
      <c r="Q17" s="2225"/>
      <c r="R17" s="156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</row>
    <row r="18" spans="1:49">
      <c r="A18" s="2237"/>
      <c r="B18" s="2238"/>
      <c r="C18" s="2238"/>
      <c r="D18" s="2238"/>
      <c r="E18" s="2238"/>
      <c r="F18" s="2238"/>
      <c r="G18" s="2238"/>
      <c r="H18" s="2238"/>
      <c r="I18" s="2239"/>
      <c r="J18" s="2239"/>
      <c r="K18" s="2239"/>
      <c r="L18" s="2239"/>
      <c r="M18" s="2240"/>
      <c r="N18" s="2240"/>
      <c r="O18" s="2224"/>
      <c r="P18" s="2224"/>
      <c r="Q18" s="2225"/>
      <c r="R18" s="156"/>
      <c r="S18" s="156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</row>
    <row r="19" spans="1:49">
      <c r="A19" s="2237"/>
      <c r="B19" s="2238"/>
      <c r="C19" s="2238"/>
      <c r="D19" s="2238"/>
      <c r="E19" s="2238"/>
      <c r="F19" s="2238"/>
      <c r="G19" s="2238"/>
      <c r="H19" s="2238"/>
      <c r="I19" s="2239"/>
      <c r="J19" s="2239"/>
      <c r="K19" s="2239"/>
      <c r="L19" s="2239"/>
      <c r="M19" s="2240"/>
      <c r="N19" s="2240"/>
      <c r="O19" s="2224"/>
      <c r="P19" s="2224"/>
      <c r="Q19" s="2225"/>
      <c r="R19" s="156"/>
      <c r="S19" s="156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</row>
    <row r="20" spans="1:49">
      <c r="A20" s="2237"/>
      <c r="B20" s="2238"/>
      <c r="C20" s="2238"/>
      <c r="D20" s="2238"/>
      <c r="E20" s="2238"/>
      <c r="F20" s="2238"/>
      <c r="G20" s="2238"/>
      <c r="H20" s="2238"/>
      <c r="I20" s="2239"/>
      <c r="J20" s="2239"/>
      <c r="K20" s="2239"/>
      <c r="L20" s="2239"/>
      <c r="M20" s="2240"/>
      <c r="N20" s="2240"/>
      <c r="O20" s="2224"/>
      <c r="P20" s="2224"/>
      <c r="Q20" s="2225"/>
      <c r="R20" s="156"/>
      <c r="S20" s="156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</row>
    <row r="21" spans="1:49">
      <c r="A21" s="2237"/>
      <c r="B21" s="2238"/>
      <c r="C21" s="2238"/>
      <c r="D21" s="2238"/>
      <c r="E21" s="2238"/>
      <c r="F21" s="2238"/>
      <c r="G21" s="2238"/>
      <c r="H21" s="2238"/>
      <c r="I21" s="2239"/>
      <c r="J21" s="2239"/>
      <c r="K21" s="2239"/>
      <c r="L21" s="2239"/>
      <c r="M21" s="2240"/>
      <c r="N21" s="2240"/>
      <c r="O21" s="2224"/>
      <c r="P21" s="2224"/>
      <c r="Q21" s="2225"/>
      <c r="R21" s="156"/>
      <c r="S21" s="156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</row>
    <row r="22" spans="1:49">
      <c r="A22" s="2237"/>
      <c r="B22" s="2238"/>
      <c r="C22" s="2238"/>
      <c r="D22" s="2238"/>
      <c r="E22" s="2238"/>
      <c r="F22" s="2238"/>
      <c r="G22" s="2238"/>
      <c r="H22" s="2238"/>
      <c r="I22" s="2239"/>
      <c r="J22" s="2239"/>
      <c r="K22" s="2239"/>
      <c r="L22" s="2239"/>
      <c r="M22" s="2240"/>
      <c r="N22" s="2240"/>
      <c r="O22" s="2224"/>
      <c r="P22" s="2224"/>
      <c r="Q22" s="2225"/>
      <c r="R22" s="156"/>
      <c r="S22" s="156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</row>
    <row r="23" spans="1:49">
      <c r="A23" s="2237"/>
      <c r="B23" s="2238"/>
      <c r="C23" s="2238"/>
      <c r="D23" s="2238"/>
      <c r="E23" s="2238"/>
      <c r="F23" s="2238"/>
      <c r="G23" s="2238"/>
      <c r="H23" s="2238"/>
      <c r="I23" s="2239"/>
      <c r="J23" s="2239"/>
      <c r="K23" s="2239"/>
      <c r="L23" s="2239"/>
      <c r="M23" s="2240"/>
      <c r="N23" s="2240"/>
      <c r="O23" s="2224"/>
      <c r="P23" s="2224"/>
      <c r="Q23" s="2225"/>
      <c r="R23" s="156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</row>
    <row r="24" spans="1:49">
      <c r="A24" s="2237"/>
      <c r="B24" s="2238"/>
      <c r="C24" s="2238"/>
      <c r="D24" s="2238"/>
      <c r="E24" s="2238"/>
      <c r="F24" s="2238"/>
      <c r="G24" s="2238"/>
      <c r="H24" s="2238"/>
      <c r="I24" s="2239"/>
      <c r="J24" s="2239"/>
      <c r="K24" s="2239"/>
      <c r="L24" s="2239"/>
      <c r="M24" s="2240"/>
      <c r="N24" s="2240"/>
      <c r="O24" s="2224"/>
      <c r="P24" s="2224"/>
      <c r="Q24" s="2225"/>
      <c r="R24" s="156"/>
      <c r="S24" s="156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</row>
    <row r="25" spans="1:49">
      <c r="A25" s="2237"/>
      <c r="B25" s="2238"/>
      <c r="C25" s="2238"/>
      <c r="D25" s="2238"/>
      <c r="E25" s="2238"/>
      <c r="F25" s="2238"/>
      <c r="G25" s="2238"/>
      <c r="H25" s="2238"/>
      <c r="I25" s="2239"/>
      <c r="J25" s="2239"/>
      <c r="K25" s="2239"/>
      <c r="L25" s="2239"/>
      <c r="M25" s="2240"/>
      <c r="N25" s="2240"/>
      <c r="O25" s="2224"/>
      <c r="P25" s="2224"/>
      <c r="Q25" s="2225"/>
      <c r="R25" s="156"/>
      <c r="S25" s="156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</row>
    <row r="26" spans="1:49">
      <c r="A26" s="2237"/>
      <c r="B26" s="2238"/>
      <c r="C26" s="2238"/>
      <c r="D26" s="2238"/>
      <c r="E26" s="2238"/>
      <c r="F26" s="2238"/>
      <c r="G26" s="2238"/>
      <c r="H26" s="2238"/>
      <c r="I26" s="2239"/>
      <c r="J26" s="2239"/>
      <c r="K26" s="2239"/>
      <c r="L26" s="2239"/>
      <c r="M26" s="2240"/>
      <c r="N26" s="2240"/>
      <c r="O26" s="2224"/>
      <c r="P26" s="2224"/>
      <c r="Q26" s="2225"/>
      <c r="R26" s="156"/>
      <c r="S26" s="156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</row>
    <row r="27" spans="1:49">
      <c r="A27" s="2237"/>
      <c r="B27" s="2238"/>
      <c r="C27" s="2238"/>
      <c r="D27" s="2238"/>
      <c r="E27" s="2238"/>
      <c r="F27" s="2238"/>
      <c r="G27" s="2238"/>
      <c r="H27" s="2238"/>
      <c r="I27" s="2239"/>
      <c r="J27" s="2239"/>
      <c r="K27" s="2239"/>
      <c r="L27" s="2239"/>
      <c r="M27" s="2240"/>
      <c r="N27" s="2240"/>
      <c r="O27" s="2224"/>
      <c r="P27" s="2224"/>
      <c r="Q27" s="2225"/>
      <c r="R27" s="156"/>
      <c r="S27" s="156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</row>
    <row r="28" spans="1:49">
      <c r="A28" s="2237"/>
      <c r="B28" s="2238"/>
      <c r="C28" s="2238"/>
      <c r="D28" s="2238"/>
      <c r="E28" s="2238"/>
      <c r="F28" s="2238"/>
      <c r="G28" s="2238"/>
      <c r="H28" s="2238"/>
      <c r="I28" s="2239"/>
      <c r="J28" s="2239"/>
      <c r="K28" s="2239"/>
      <c r="L28" s="2239"/>
      <c r="M28" s="2240"/>
      <c r="N28" s="2240"/>
      <c r="O28" s="2224"/>
      <c r="P28" s="2224"/>
      <c r="Q28" s="2225"/>
      <c r="R28" s="156"/>
      <c r="S28" s="156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</row>
    <row r="29" spans="1:49">
      <c r="A29" s="2237"/>
      <c r="B29" s="2238"/>
      <c r="C29" s="2238"/>
      <c r="D29" s="2238"/>
      <c r="E29" s="2238"/>
      <c r="F29" s="2238"/>
      <c r="G29" s="2238"/>
      <c r="H29" s="2238"/>
      <c r="I29" s="2239"/>
      <c r="J29" s="2239"/>
      <c r="K29" s="2239"/>
      <c r="L29" s="2239"/>
      <c r="M29" s="2240"/>
      <c r="N29" s="2240"/>
      <c r="O29" s="2224"/>
      <c r="P29" s="2224"/>
      <c r="Q29" s="2225"/>
      <c r="R29" s="156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</row>
    <row r="30" spans="1:49">
      <c r="A30" s="2237"/>
      <c r="B30" s="2238"/>
      <c r="C30" s="2238"/>
      <c r="D30" s="2238"/>
      <c r="E30" s="2238"/>
      <c r="F30" s="2238"/>
      <c r="G30" s="2238"/>
      <c r="H30" s="2238"/>
      <c r="I30" s="2239"/>
      <c r="J30" s="2239"/>
      <c r="K30" s="2239"/>
      <c r="L30" s="2239"/>
      <c r="M30" s="2240"/>
      <c r="N30" s="2240"/>
      <c r="O30" s="2224"/>
      <c r="P30" s="2224"/>
      <c r="Q30" s="2225"/>
      <c r="R30" s="156"/>
      <c r="S30" s="156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</row>
    <row r="31" spans="1:49">
      <c r="A31" s="2237"/>
      <c r="B31" s="2238"/>
      <c r="C31" s="2238"/>
      <c r="D31" s="2238"/>
      <c r="E31" s="2238"/>
      <c r="F31" s="2238"/>
      <c r="G31" s="2238"/>
      <c r="H31" s="2238"/>
      <c r="I31" s="2239"/>
      <c r="J31" s="2239"/>
      <c r="K31" s="2239"/>
      <c r="L31" s="2239"/>
      <c r="M31" s="2240"/>
      <c r="N31" s="2240"/>
      <c r="O31" s="2224"/>
      <c r="P31" s="2224"/>
      <c r="Q31" s="2225"/>
      <c r="R31" s="156"/>
      <c r="S31" s="156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</row>
    <row r="32" spans="1:49">
      <c r="A32" s="2237"/>
      <c r="B32" s="2238"/>
      <c r="C32" s="2238"/>
      <c r="D32" s="2238"/>
      <c r="E32" s="2238"/>
      <c r="F32" s="2238"/>
      <c r="G32" s="2238"/>
      <c r="H32" s="2238"/>
      <c r="I32" s="2239"/>
      <c r="J32" s="2239"/>
      <c r="K32" s="2239"/>
      <c r="L32" s="2239"/>
      <c r="M32" s="2240"/>
      <c r="N32" s="2240"/>
      <c r="O32" s="2224"/>
      <c r="P32" s="2224"/>
      <c r="Q32" s="2225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59"/>
      <c r="AG32" s="159"/>
      <c r="AH32" s="159"/>
      <c r="AI32" s="159"/>
      <c r="AJ32" s="160"/>
      <c r="AK32" s="160"/>
      <c r="AL32" s="160"/>
      <c r="AM32" s="160"/>
      <c r="AN32" s="159"/>
      <c r="AO32" s="159"/>
      <c r="AP32" s="159"/>
      <c r="AQ32" s="159"/>
      <c r="AR32" s="159"/>
      <c r="AS32" s="149"/>
      <c r="AT32" s="149"/>
      <c r="AU32" s="149"/>
      <c r="AV32" s="149"/>
      <c r="AW32" s="149"/>
    </row>
    <row r="33" spans="1:49" ht="16.5" customHeight="1">
      <c r="A33" s="2237"/>
      <c r="B33" s="2238"/>
      <c r="C33" s="2238"/>
      <c r="D33" s="2238"/>
      <c r="E33" s="2238"/>
      <c r="F33" s="2238"/>
      <c r="G33" s="2238"/>
      <c r="H33" s="2238"/>
      <c r="I33" s="2239"/>
      <c r="J33" s="2239"/>
      <c r="K33" s="2239"/>
      <c r="L33" s="2239"/>
      <c r="M33" s="2240"/>
      <c r="N33" s="2240"/>
      <c r="O33" s="2224"/>
      <c r="P33" s="2224"/>
      <c r="Q33" s="2225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</row>
    <row r="34" spans="1:49">
      <c r="A34" s="2237"/>
      <c r="B34" s="2238"/>
      <c r="C34" s="2238"/>
      <c r="D34" s="2238"/>
      <c r="E34" s="2238"/>
      <c r="F34" s="2238"/>
      <c r="G34" s="2238"/>
      <c r="H34" s="2238"/>
      <c r="I34" s="2239"/>
      <c r="J34" s="2239"/>
      <c r="K34" s="2239"/>
      <c r="L34" s="2239"/>
      <c r="M34" s="2240"/>
      <c r="N34" s="2240"/>
      <c r="O34" s="2224"/>
      <c r="P34" s="2224"/>
      <c r="Q34" s="2225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</row>
    <row r="35" spans="1:49">
      <c r="A35" s="2243"/>
      <c r="B35" s="2244"/>
      <c r="C35" s="2244"/>
      <c r="D35" s="2244"/>
      <c r="E35" s="2244"/>
      <c r="F35" s="2244"/>
      <c r="G35" s="2244"/>
      <c r="H35" s="2244"/>
      <c r="I35" s="2251"/>
      <c r="J35" s="2251"/>
      <c r="K35" s="2251"/>
      <c r="L35" s="2251"/>
      <c r="M35" s="2252"/>
      <c r="N35" s="2252"/>
      <c r="O35" s="2253"/>
      <c r="P35" s="2253"/>
      <c r="Q35" s="2254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</row>
    <row r="36" spans="1:49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</row>
    <row r="37" spans="1:49">
      <c r="A37" s="2247" t="s">
        <v>661</v>
      </c>
      <c r="B37" s="2247"/>
      <c r="C37" s="149"/>
      <c r="D37" s="2248"/>
      <c r="E37" s="2248"/>
      <c r="F37" s="2248"/>
      <c r="G37" s="2248"/>
      <c r="H37" s="2248"/>
      <c r="I37" s="2249"/>
      <c r="J37" s="2249"/>
      <c r="K37" s="2249"/>
      <c r="L37" s="2249"/>
      <c r="M37" s="2250"/>
      <c r="N37" s="2250"/>
      <c r="O37" s="2242"/>
      <c r="P37" s="2242"/>
      <c r="Q37" s="2242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</row>
    <row r="38" spans="1:49">
      <c r="A38" s="2245" t="s">
        <v>662</v>
      </c>
      <c r="B38" s="2245"/>
      <c r="C38" s="2245"/>
      <c r="D38" s="2245"/>
      <c r="E38" s="2245"/>
      <c r="F38" s="2245"/>
      <c r="G38" s="2245"/>
      <c r="H38" s="2245"/>
      <c r="I38" s="2245"/>
      <c r="J38" s="2245"/>
      <c r="K38" s="2245"/>
      <c r="L38" s="2245"/>
      <c r="M38" s="2245"/>
      <c r="N38" s="2245"/>
      <c r="O38" s="2245"/>
      <c r="P38" s="2245"/>
      <c r="Q38" s="2245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</row>
    <row r="39" spans="1:49">
      <c r="A39" s="2245"/>
      <c r="B39" s="2245"/>
      <c r="C39" s="2245"/>
      <c r="D39" s="2245"/>
      <c r="E39" s="2245"/>
      <c r="F39" s="2245"/>
      <c r="G39" s="2245"/>
      <c r="H39" s="2245"/>
      <c r="I39" s="2245"/>
      <c r="J39" s="2245"/>
      <c r="K39" s="2245"/>
      <c r="L39" s="2245"/>
      <c r="M39" s="2245"/>
      <c r="N39" s="2245"/>
      <c r="O39" s="2245"/>
      <c r="P39" s="2245"/>
      <c r="Q39" s="2245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</row>
    <row r="40" spans="1:49">
      <c r="A40" s="2245"/>
      <c r="B40" s="2245"/>
      <c r="C40" s="2245"/>
      <c r="D40" s="2245"/>
      <c r="E40" s="2245"/>
      <c r="F40" s="2245"/>
      <c r="G40" s="2245"/>
      <c r="H40" s="2245"/>
      <c r="I40" s="2245"/>
      <c r="J40" s="2245"/>
      <c r="K40" s="2245"/>
      <c r="L40" s="2245"/>
      <c r="M40" s="2245"/>
      <c r="N40" s="2245"/>
      <c r="O40" s="2245"/>
      <c r="P40" s="2245"/>
      <c r="Q40" s="2245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</row>
    <row r="41" spans="1:49">
      <c r="A41" s="2245"/>
      <c r="B41" s="2245"/>
      <c r="C41" s="2245"/>
      <c r="D41" s="2245"/>
      <c r="E41" s="2245"/>
      <c r="F41" s="2245"/>
      <c r="G41" s="2245"/>
      <c r="H41" s="2245"/>
      <c r="I41" s="2245"/>
      <c r="J41" s="2245"/>
      <c r="K41" s="2245"/>
      <c r="L41" s="2245"/>
      <c r="M41" s="2245"/>
      <c r="N41" s="2245"/>
      <c r="O41" s="2245"/>
      <c r="P41" s="2245"/>
      <c r="Q41" s="2245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</row>
    <row r="42" spans="1:49" ht="17.25" thickBot="1">
      <c r="A42" s="2246"/>
      <c r="B42" s="2246"/>
      <c r="C42" s="2246"/>
      <c r="D42" s="2246"/>
      <c r="E42" s="2246"/>
      <c r="F42" s="2246"/>
      <c r="G42" s="2246"/>
      <c r="H42" s="2246"/>
      <c r="I42" s="2246"/>
      <c r="J42" s="2246"/>
      <c r="K42" s="2246"/>
      <c r="L42" s="2246"/>
      <c r="M42" s="2246"/>
      <c r="N42" s="2246"/>
      <c r="O42" s="2246"/>
      <c r="P42" s="2246"/>
      <c r="Q42" s="2246"/>
    </row>
  </sheetData>
  <mergeCells count="152">
    <mergeCell ref="I35:L35"/>
    <mergeCell ref="M35:N35"/>
    <mergeCell ref="O35:Q35"/>
    <mergeCell ref="A33:C33"/>
    <mergeCell ref="D33:H33"/>
    <mergeCell ref="I33:L33"/>
    <mergeCell ref="M33:N33"/>
    <mergeCell ref="O33:Q33"/>
    <mergeCell ref="A34:C34"/>
    <mergeCell ref="D34:H34"/>
    <mergeCell ref="I34:L34"/>
    <mergeCell ref="M34:N34"/>
    <mergeCell ref="O34:Q34"/>
    <mergeCell ref="A38:Q42"/>
    <mergeCell ref="A37:B37"/>
    <mergeCell ref="D28:H28"/>
    <mergeCell ref="I28:L28"/>
    <mergeCell ref="A29:C29"/>
    <mergeCell ref="D29:H29"/>
    <mergeCell ref="I29:L29"/>
    <mergeCell ref="M29:N29"/>
    <mergeCell ref="O29:Q29"/>
    <mergeCell ref="A30:C30"/>
    <mergeCell ref="D30:H30"/>
    <mergeCell ref="I30:L30"/>
    <mergeCell ref="M30:N30"/>
    <mergeCell ref="O30:Q30"/>
    <mergeCell ref="A28:C28"/>
    <mergeCell ref="D37:H37"/>
    <mergeCell ref="I37:L37"/>
    <mergeCell ref="M37:N37"/>
    <mergeCell ref="M28:N28"/>
    <mergeCell ref="O28:Q28"/>
    <mergeCell ref="A32:C32"/>
    <mergeCell ref="D32:H32"/>
    <mergeCell ref="I32:L32"/>
    <mergeCell ref="M32:N32"/>
    <mergeCell ref="O37:Q37"/>
    <mergeCell ref="A25:C25"/>
    <mergeCell ref="D25:H25"/>
    <mergeCell ref="I25:L25"/>
    <mergeCell ref="M25:N25"/>
    <mergeCell ref="O25:Q25"/>
    <mergeCell ref="A26:C26"/>
    <mergeCell ref="D26:H26"/>
    <mergeCell ref="I26:L26"/>
    <mergeCell ref="M26:N26"/>
    <mergeCell ref="O26:Q26"/>
    <mergeCell ref="A27:C27"/>
    <mergeCell ref="D27:H27"/>
    <mergeCell ref="I27:L27"/>
    <mergeCell ref="M27:N27"/>
    <mergeCell ref="O27:Q27"/>
    <mergeCell ref="O32:Q32"/>
    <mergeCell ref="A31:C31"/>
    <mergeCell ref="D31:H31"/>
    <mergeCell ref="I31:L31"/>
    <mergeCell ref="M31:N31"/>
    <mergeCell ref="O31:Q31"/>
    <mergeCell ref="A35:C35"/>
    <mergeCell ref="D35:H35"/>
    <mergeCell ref="A23:C23"/>
    <mergeCell ref="D23:H23"/>
    <mergeCell ref="I23:L23"/>
    <mergeCell ref="M23:N23"/>
    <mergeCell ref="O23:Q23"/>
    <mergeCell ref="A24:C24"/>
    <mergeCell ref="D24:H24"/>
    <mergeCell ref="I24:L24"/>
    <mergeCell ref="M24:N24"/>
    <mergeCell ref="O24:Q24"/>
    <mergeCell ref="A21:C21"/>
    <mergeCell ref="D21:H21"/>
    <mergeCell ref="I21:L21"/>
    <mergeCell ref="M21:N21"/>
    <mergeCell ref="O21:Q21"/>
    <mergeCell ref="A22:C22"/>
    <mergeCell ref="D22:H22"/>
    <mergeCell ref="I22:L22"/>
    <mergeCell ref="M22:N22"/>
    <mergeCell ref="O22:Q22"/>
    <mergeCell ref="A19:C19"/>
    <mergeCell ref="D19:H19"/>
    <mergeCell ref="I19:L19"/>
    <mergeCell ref="M19:N19"/>
    <mergeCell ref="O19:Q19"/>
    <mergeCell ref="A20:C20"/>
    <mergeCell ref="D20:H20"/>
    <mergeCell ref="I20:L20"/>
    <mergeCell ref="M20:N20"/>
    <mergeCell ref="O20:Q20"/>
    <mergeCell ref="A17:C17"/>
    <mergeCell ref="D17:H17"/>
    <mergeCell ref="I17:L17"/>
    <mergeCell ref="M17:N17"/>
    <mergeCell ref="O17:Q17"/>
    <mergeCell ref="A18:C18"/>
    <mergeCell ref="D18:H18"/>
    <mergeCell ref="I18:L18"/>
    <mergeCell ref="M18:N18"/>
    <mergeCell ref="O18:Q18"/>
    <mergeCell ref="A15:C15"/>
    <mergeCell ref="D15:H15"/>
    <mergeCell ref="I15:L15"/>
    <mergeCell ref="M15:N15"/>
    <mergeCell ref="O15:Q15"/>
    <mergeCell ref="A16:C16"/>
    <mergeCell ref="D16:H16"/>
    <mergeCell ref="I16:L16"/>
    <mergeCell ref="M16:N16"/>
    <mergeCell ref="O16:Q16"/>
    <mergeCell ref="A13:C13"/>
    <mergeCell ref="D13:H13"/>
    <mergeCell ref="I13:L13"/>
    <mergeCell ref="M13:N13"/>
    <mergeCell ref="O13:Q13"/>
    <mergeCell ref="A14:C14"/>
    <mergeCell ref="D14:H14"/>
    <mergeCell ref="I14:L14"/>
    <mergeCell ref="M14:N14"/>
    <mergeCell ref="O14:Q14"/>
    <mergeCell ref="O11:Q11"/>
    <mergeCell ref="A12:C12"/>
    <mergeCell ref="D12:H12"/>
    <mergeCell ref="I12:L12"/>
    <mergeCell ref="M12:N12"/>
    <mergeCell ref="O12:Q12"/>
    <mergeCell ref="M10:N10"/>
    <mergeCell ref="I10:L10"/>
    <mergeCell ref="D10:H10"/>
    <mergeCell ref="A10:C10"/>
    <mergeCell ref="A11:C11"/>
    <mergeCell ref="D11:H11"/>
    <mergeCell ref="I11:L11"/>
    <mergeCell ref="M11:N11"/>
    <mergeCell ref="D8:H9"/>
    <mergeCell ref="O10:Q10"/>
    <mergeCell ref="M3:P3"/>
    <mergeCell ref="M4:P4"/>
    <mergeCell ref="E5:F5"/>
    <mergeCell ref="M6:P6"/>
    <mergeCell ref="M5:P5"/>
    <mergeCell ref="A1:L2"/>
    <mergeCell ref="M1:N1"/>
    <mergeCell ref="O1:P1"/>
    <mergeCell ref="M2:N2"/>
    <mergeCell ref="O2:P2"/>
    <mergeCell ref="A8:C9"/>
    <mergeCell ref="M9:N9"/>
    <mergeCell ref="M8:N8"/>
    <mergeCell ref="I8:L9"/>
    <mergeCell ref="O8:Q9"/>
  </mergeCells>
  <phoneticPr fontId="2" type="noConversion"/>
  <dataValidations disablePrompts="1" count="1">
    <dataValidation type="list" allowBlank="1" showInputMessage="1" showErrorMessage="1" sqref="E5:F5" xr:uid="{00000000-0002-0000-0E00-000000000000}">
      <formula1>총탄화수소기계종류</formula1>
    </dataValidation>
  </dataValidations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0"/>
  <sheetViews>
    <sheetView view="pageBreakPreview" zoomScaleNormal="100" zoomScaleSheetLayoutView="100" workbookViewId="0">
      <selection activeCell="AF21" sqref="AF21:AK21"/>
    </sheetView>
  </sheetViews>
  <sheetFormatPr defaultRowHeight="16.899999999999999"/>
  <cols>
    <col min="1" max="1" width="2.125" style="258" customWidth="1"/>
    <col min="2" max="2" width="2.875" style="258" customWidth="1"/>
    <col min="3" max="4" width="2.125" style="258" customWidth="1"/>
    <col min="5" max="5" width="1.75" style="258" customWidth="1"/>
    <col min="6" max="7" width="2.5" style="258" customWidth="1"/>
    <col min="8" max="12" width="2.125" style="258" customWidth="1"/>
    <col min="13" max="43" width="2.125" customWidth="1"/>
    <col min="44" max="49" width="1.875" customWidth="1"/>
  </cols>
  <sheetData>
    <row r="1" spans="1:56" ht="21" customHeight="1">
      <c r="A1" s="2229" t="s">
        <v>885</v>
      </c>
      <c r="B1" s="2229"/>
      <c r="C1" s="2229"/>
      <c r="D1" s="2229"/>
      <c r="E1" s="2229"/>
      <c r="F1" s="2229"/>
      <c r="G1" s="2229"/>
      <c r="H1" s="2229"/>
      <c r="I1" s="2229"/>
      <c r="J1" s="2229"/>
      <c r="K1" s="2229"/>
      <c r="L1" s="2229"/>
      <c r="M1" s="2229"/>
      <c r="N1" s="2229"/>
      <c r="O1" s="2229"/>
      <c r="P1" s="2229"/>
      <c r="Q1" s="2229"/>
      <c r="R1" s="2229"/>
      <c r="S1" s="2229"/>
      <c r="T1" s="2229"/>
      <c r="U1" s="2229"/>
      <c r="V1" s="2229"/>
      <c r="W1" s="2229"/>
      <c r="X1" s="2229"/>
      <c r="Y1" s="2229"/>
      <c r="Z1" s="2229"/>
      <c r="AA1" s="2229"/>
      <c r="AB1" s="2229"/>
      <c r="AC1" s="2229"/>
      <c r="AD1" s="2229"/>
      <c r="AE1" s="2229"/>
      <c r="AF1" s="2229"/>
      <c r="AG1" s="2229"/>
      <c r="AH1" s="2229"/>
      <c r="AI1" s="2229"/>
      <c r="AJ1" s="2229"/>
      <c r="AK1" s="2229"/>
      <c r="AL1" s="2304"/>
      <c r="AM1" s="2305" t="s">
        <v>849</v>
      </c>
      <c r="AN1" s="2306"/>
      <c r="AO1" s="2306"/>
      <c r="AP1" s="2306"/>
      <c r="AQ1" s="2307"/>
      <c r="AR1" s="2306" t="s">
        <v>884</v>
      </c>
      <c r="AS1" s="2306"/>
      <c r="AT1" s="2306"/>
      <c r="AU1" s="2306"/>
      <c r="AV1" s="2306"/>
      <c r="AW1" s="2306"/>
    </row>
    <row r="2" spans="1:56" ht="31.5" customHeight="1">
      <c r="A2" s="2229"/>
      <c r="B2" s="2229"/>
      <c r="C2" s="2229"/>
      <c r="D2" s="2229"/>
      <c r="E2" s="2229"/>
      <c r="F2" s="2229"/>
      <c r="G2" s="2229"/>
      <c r="H2" s="2229"/>
      <c r="I2" s="2229"/>
      <c r="J2" s="2229"/>
      <c r="K2" s="2229"/>
      <c r="L2" s="2229"/>
      <c r="M2" s="2229"/>
      <c r="N2" s="2229"/>
      <c r="O2" s="2229"/>
      <c r="P2" s="2229"/>
      <c r="Q2" s="2229"/>
      <c r="R2" s="2229"/>
      <c r="S2" s="2229"/>
      <c r="T2" s="2229"/>
      <c r="U2" s="2229"/>
      <c r="V2" s="2229"/>
      <c r="W2" s="2229"/>
      <c r="X2" s="2229"/>
      <c r="Y2" s="2229"/>
      <c r="Z2" s="2229"/>
      <c r="AA2" s="2229"/>
      <c r="AB2" s="2229"/>
      <c r="AC2" s="2229"/>
      <c r="AD2" s="2229"/>
      <c r="AE2" s="2229"/>
      <c r="AF2" s="2229"/>
      <c r="AG2" s="2229"/>
      <c r="AH2" s="2229"/>
      <c r="AI2" s="2229"/>
      <c r="AJ2" s="2229"/>
      <c r="AK2" s="2229"/>
      <c r="AL2" s="2304"/>
      <c r="AM2" s="2308"/>
      <c r="AN2" s="2309"/>
      <c r="AO2" s="2309"/>
      <c r="AP2" s="2309"/>
      <c r="AQ2" s="2310"/>
      <c r="AR2" s="2311"/>
      <c r="AS2" s="2311"/>
      <c r="AT2" s="2311"/>
      <c r="AU2" s="2311"/>
      <c r="AV2" s="2311"/>
      <c r="AW2" s="2311"/>
    </row>
    <row r="3" spans="1:56" s="155" customFormat="1" ht="15" customHeight="1">
      <c r="D3" s="2250" t="s">
        <v>513</v>
      </c>
      <c r="E3" s="2250"/>
      <c r="F3" s="2250"/>
      <c r="G3" s="2250"/>
      <c r="H3" s="2250"/>
      <c r="I3" s="255" t="s">
        <v>15</v>
      </c>
      <c r="J3" s="155" t="s">
        <v>524</v>
      </c>
      <c r="AB3" s="2250"/>
      <c r="AC3" s="2250"/>
      <c r="AD3" s="2250"/>
      <c r="AE3" s="2250"/>
      <c r="AF3" s="253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</row>
    <row r="4" spans="1:56" s="155" customFormat="1" ht="15" customHeight="1">
      <c r="D4" s="2250" t="s">
        <v>637</v>
      </c>
      <c r="E4" s="2250"/>
      <c r="F4" s="2250"/>
      <c r="G4" s="2250"/>
      <c r="H4" s="2250"/>
      <c r="I4" s="255" t="s">
        <v>15</v>
      </c>
      <c r="J4" s="2281" t="str">
        <f>IF(J3="","",INDEX('대기측정 분석결과서'!$Z$23:$Z$72,MATCH(J3,측정항목,0)))</f>
        <v>ES 01301.1e</v>
      </c>
      <c r="K4" s="2281"/>
      <c r="L4" s="2281"/>
      <c r="M4" s="2281"/>
      <c r="N4" s="2281"/>
      <c r="O4" s="2281"/>
      <c r="P4" s="2281"/>
      <c r="Q4" s="2281"/>
      <c r="AB4" s="2250" t="s">
        <v>515</v>
      </c>
      <c r="AC4" s="2250"/>
      <c r="AD4" s="2250"/>
      <c r="AE4" s="2250"/>
      <c r="AF4" s="255" t="s">
        <v>46</v>
      </c>
      <c r="AG4" s="2282">
        <f>'먼지측정 사전 Data'!N5</f>
        <v>0</v>
      </c>
      <c r="AH4" s="2282"/>
      <c r="AI4" s="2282"/>
      <c r="AJ4" s="2282"/>
      <c r="AK4" s="2282"/>
      <c r="AL4" s="2282"/>
      <c r="AM4" s="2282"/>
      <c r="AN4" s="2282"/>
      <c r="AO4" s="2282"/>
      <c r="AP4" s="2282"/>
      <c r="AQ4" s="2282"/>
      <c r="AR4" s="254"/>
      <c r="AS4" s="254"/>
      <c r="AT4" s="254"/>
      <c r="AU4" s="254"/>
      <c r="AV4" s="254"/>
      <c r="AW4" s="254"/>
    </row>
    <row r="5" spans="1:56" s="155" customFormat="1" ht="15" customHeight="1">
      <c r="A5" s="256"/>
      <c r="B5" s="256"/>
      <c r="C5" s="256"/>
      <c r="D5" s="2250" t="s">
        <v>651</v>
      </c>
      <c r="E5" s="2250"/>
      <c r="F5" s="2250"/>
      <c r="G5" s="2250"/>
      <c r="H5" s="2250"/>
      <c r="I5" s="255" t="s">
        <v>15</v>
      </c>
      <c r="J5" s="155" t="str">
        <f>'대기측정 분석결과서'!M23</f>
        <v>반자동식 측정법/원통여지법</v>
      </c>
      <c r="T5" s="255"/>
      <c r="U5" s="255"/>
      <c r="V5" s="255"/>
      <c r="W5" s="255"/>
      <c r="X5" s="255"/>
      <c r="Y5" s="255"/>
      <c r="Z5" s="255"/>
      <c r="AA5" s="255"/>
      <c r="AB5" s="2250" t="s">
        <v>517</v>
      </c>
      <c r="AC5" s="2250"/>
      <c r="AD5" s="2250"/>
      <c r="AE5" s="2250"/>
      <c r="AF5" s="255" t="s">
        <v>46</v>
      </c>
      <c r="AG5" s="2282">
        <f>'먼지측정 사전 Data'!N6</f>
        <v>46059</v>
      </c>
      <c r="AH5" s="2282"/>
      <c r="AI5" s="2282"/>
      <c r="AJ5" s="2282"/>
      <c r="AK5" s="2282"/>
      <c r="AL5" s="2282"/>
      <c r="AM5" s="2282"/>
      <c r="AN5" s="2282"/>
      <c r="AO5" s="2282"/>
      <c r="AP5" s="2282"/>
      <c r="AQ5" s="2282"/>
      <c r="AR5" s="254"/>
      <c r="AS5" s="254"/>
      <c r="AT5" s="254"/>
      <c r="AU5" s="254"/>
      <c r="AV5" s="254"/>
      <c r="AW5" s="254"/>
    </row>
    <row r="6" spans="1:56" s="155" customFormat="1" ht="15" customHeight="1">
      <c r="D6" s="2250" t="s">
        <v>653</v>
      </c>
      <c r="E6" s="2250"/>
      <c r="F6" s="2250"/>
      <c r="G6" s="2250"/>
      <c r="H6" s="2250"/>
      <c r="I6" s="255" t="s">
        <v>15</v>
      </c>
      <c r="J6" s="257" t="str">
        <f>'대기측정 분석결과서'!U9</f>
        <v>이 나 영</v>
      </c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AB6" s="2250" t="s">
        <v>519</v>
      </c>
      <c r="AC6" s="2250"/>
      <c r="AD6" s="2250"/>
      <c r="AE6" s="2250"/>
      <c r="AF6" s="255" t="s">
        <v>46</v>
      </c>
      <c r="AG6" s="2282" t="str">
        <f>TEXT(AG5,"yyyy.mm.dd")&amp;"~"&amp;TEXT(WORKDAY(AG5,3,$BD$10:$BD$17),"yyyy.mm.dd")</f>
        <v>2026.02.06~2026.02.11</v>
      </c>
      <c r="AH6" s="2282"/>
      <c r="AI6" s="2282"/>
      <c r="AJ6" s="2282"/>
      <c r="AK6" s="2282"/>
      <c r="AL6" s="2282"/>
      <c r="AM6" s="2282"/>
      <c r="AN6" s="2282"/>
      <c r="AO6" s="2282"/>
      <c r="AP6" s="2282"/>
      <c r="AQ6" s="2282"/>
      <c r="AR6" s="254"/>
      <c r="AS6" s="254"/>
      <c r="AT6" s="254"/>
      <c r="AU6" s="254"/>
      <c r="AV6" s="254"/>
      <c r="AW6" s="254"/>
    </row>
    <row r="7" spans="1:56" s="155" customFormat="1" ht="15" customHeight="1">
      <c r="A7" s="255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</row>
    <row r="8" spans="1:56" s="155" customFormat="1" ht="18" customHeight="1">
      <c r="A8" s="2260"/>
      <c r="B8" s="2261"/>
      <c r="C8" s="2261"/>
      <c r="D8" s="2261"/>
      <c r="E8" s="2261"/>
      <c r="F8" s="2261"/>
      <c r="G8" s="2261"/>
      <c r="H8" s="2261"/>
      <c r="I8" s="2261"/>
      <c r="J8" s="2261"/>
      <c r="K8" s="2262"/>
      <c r="L8" s="2258"/>
      <c r="M8" s="2258"/>
      <c r="N8" s="2258"/>
      <c r="O8" s="2258"/>
      <c r="P8" s="2258"/>
      <c r="Q8" s="2258"/>
      <c r="R8" s="2258"/>
      <c r="S8" s="2258"/>
      <c r="T8" s="2258"/>
      <c r="U8" s="2273"/>
      <c r="V8" s="2274"/>
      <c r="W8" s="2274"/>
      <c r="X8" s="2275"/>
      <c r="Y8" s="2258"/>
      <c r="Z8" s="2258"/>
      <c r="AA8" s="2258"/>
      <c r="AB8" s="2258"/>
      <c r="AC8" s="2258"/>
      <c r="AD8" s="2258"/>
      <c r="AE8" s="2258"/>
      <c r="AF8" s="2258"/>
      <c r="AG8" s="2258"/>
      <c r="AH8" s="2258"/>
      <c r="AI8" s="2258"/>
      <c r="AJ8" s="2258"/>
      <c r="AK8" s="2258"/>
      <c r="AL8" s="2298" t="s">
        <v>811</v>
      </c>
      <c r="AM8" s="2299"/>
      <c r="AN8" s="2299"/>
      <c r="AO8" s="2299"/>
      <c r="AP8" s="2299"/>
      <c r="AQ8" s="2300"/>
      <c r="AR8" s="2266"/>
      <c r="AS8" s="2261"/>
      <c r="AT8" s="2261"/>
      <c r="AU8" s="2261"/>
      <c r="AV8" s="2261"/>
      <c r="AW8" s="2262"/>
    </row>
    <row r="9" spans="1:56" s="155" customFormat="1" ht="18" customHeight="1">
      <c r="A9" s="2263"/>
      <c r="B9" s="2264"/>
      <c r="C9" s="2264"/>
      <c r="D9" s="2264"/>
      <c r="E9" s="2264"/>
      <c r="F9" s="2264"/>
      <c r="G9" s="2264"/>
      <c r="H9" s="2264"/>
      <c r="I9" s="2264"/>
      <c r="J9" s="2264"/>
      <c r="K9" s="2265"/>
      <c r="L9" s="2258"/>
      <c r="M9" s="2258"/>
      <c r="N9" s="2258"/>
      <c r="O9" s="2258"/>
      <c r="P9" s="2258"/>
      <c r="Q9" s="2258"/>
      <c r="R9" s="2258"/>
      <c r="S9" s="2258"/>
      <c r="T9" s="2258"/>
      <c r="U9" s="2273"/>
      <c r="V9" s="2274"/>
      <c r="W9" s="2274"/>
      <c r="X9" s="2275"/>
      <c r="Y9" s="2258"/>
      <c r="Z9" s="2258"/>
      <c r="AA9" s="2258"/>
      <c r="AB9" s="2258"/>
      <c r="AC9" s="2258"/>
      <c r="AD9" s="2258"/>
      <c r="AE9" s="2258"/>
      <c r="AF9" s="2258"/>
      <c r="AG9" s="2258"/>
      <c r="AH9" s="2258"/>
      <c r="AI9" s="2258"/>
      <c r="AJ9" s="2258"/>
      <c r="AK9" s="2258"/>
      <c r="AL9" s="2301"/>
      <c r="AM9" s="2302"/>
      <c r="AN9" s="2302"/>
      <c r="AO9" s="2302"/>
      <c r="AP9" s="2302"/>
      <c r="AQ9" s="2303"/>
      <c r="AR9" s="2263"/>
      <c r="AS9" s="2264"/>
      <c r="AT9" s="2264"/>
      <c r="AU9" s="2264"/>
      <c r="AV9" s="2264"/>
      <c r="AW9" s="2265"/>
      <c r="BC9" s="155" t="s">
        <v>812</v>
      </c>
    </row>
    <row r="10" spans="1:56" s="155" customFormat="1" ht="18" customHeight="1">
      <c r="A10" s="2255" t="s">
        <v>805</v>
      </c>
      <c r="B10" s="2256"/>
      <c r="C10" s="2256"/>
      <c r="D10" s="2256"/>
      <c r="E10" s="2256"/>
      <c r="F10" s="2256"/>
      <c r="G10" s="2256"/>
      <c r="H10" s="2256"/>
      <c r="I10" s="2256"/>
      <c r="J10" s="2256"/>
      <c r="K10" s="2257"/>
      <c r="L10" s="2258"/>
      <c r="M10" s="2258"/>
      <c r="N10" s="2258"/>
      <c r="O10" s="2258"/>
      <c r="P10" s="2258"/>
      <c r="Q10" s="2258"/>
      <c r="R10" s="2258"/>
      <c r="S10" s="2258"/>
      <c r="T10" s="2258"/>
      <c r="U10" s="2273"/>
      <c r="V10" s="2274"/>
      <c r="W10" s="2274"/>
      <c r="X10" s="2275"/>
      <c r="Y10" s="2258"/>
      <c r="Z10" s="2258"/>
      <c r="AA10" s="2258"/>
      <c r="AB10" s="2258"/>
      <c r="AC10" s="2258"/>
      <c r="AD10" s="2258"/>
      <c r="AE10" s="2258"/>
      <c r="AF10" s="2258"/>
      <c r="AG10" s="2258"/>
      <c r="AH10" s="2258"/>
      <c r="AI10" s="2258"/>
      <c r="AJ10" s="2258"/>
      <c r="AK10" s="2258"/>
      <c r="AL10" s="2259" t="str">
        <f>IF('먼지측정 사전 Data'!C95="","",'먼지측정 사전 Data'!C95)</f>
        <v/>
      </c>
      <c r="AM10" s="2259"/>
      <c r="AN10" s="2259"/>
      <c r="AO10" s="2259"/>
      <c r="AP10" s="2259"/>
      <c r="AQ10" s="2259"/>
      <c r="AR10" s="2255"/>
      <c r="AS10" s="2256"/>
      <c r="AT10" s="2256"/>
      <c r="AU10" s="2256"/>
      <c r="AV10" s="2256"/>
      <c r="AW10" s="2257"/>
      <c r="BC10" s="155" t="s">
        <v>813</v>
      </c>
      <c r="BD10" s="269">
        <v>44713</v>
      </c>
    </row>
    <row r="11" spans="1:56" s="155" customFormat="1" ht="18" customHeight="1">
      <c r="A11" s="2255" t="s">
        <v>806</v>
      </c>
      <c r="B11" s="2256"/>
      <c r="C11" s="2256"/>
      <c r="D11" s="2256"/>
      <c r="E11" s="2256"/>
      <c r="F11" s="2256"/>
      <c r="G11" s="2256"/>
      <c r="H11" s="2256"/>
      <c r="I11" s="2256"/>
      <c r="J11" s="2256"/>
      <c r="K11" s="2257"/>
      <c r="L11" s="2258"/>
      <c r="M11" s="2258"/>
      <c r="N11" s="2258"/>
      <c r="O11" s="2258"/>
      <c r="P11" s="2258"/>
      <c r="Q11" s="2258"/>
      <c r="R11" s="2258"/>
      <c r="S11" s="2258"/>
      <c r="T11" s="2258"/>
      <c r="U11" s="2273"/>
      <c r="V11" s="2274"/>
      <c r="W11" s="2274"/>
      <c r="X11" s="2275"/>
      <c r="Y11" s="2258"/>
      <c r="Z11" s="2258"/>
      <c r="AA11" s="2258"/>
      <c r="AB11" s="2258"/>
      <c r="AC11" s="2258"/>
      <c r="AD11" s="2258"/>
      <c r="AE11" s="2258"/>
      <c r="AF11" s="2258"/>
      <c r="AG11" s="2258"/>
      <c r="AH11" s="2258"/>
      <c r="AI11" s="2258"/>
      <c r="AJ11" s="2258"/>
      <c r="AK11" s="2258"/>
      <c r="AL11" s="2259" t="str">
        <f>IF('먼지측정 사전 Data'!E95="","",'먼지측정 사전 Data'!E95)</f>
        <v/>
      </c>
      <c r="AM11" s="2259"/>
      <c r="AN11" s="2259"/>
      <c r="AO11" s="2259"/>
      <c r="AP11" s="2259"/>
      <c r="AQ11" s="2259"/>
      <c r="AR11" s="2255"/>
      <c r="AS11" s="2256"/>
      <c r="AT11" s="2256"/>
      <c r="AU11" s="2256"/>
      <c r="AV11" s="2256"/>
      <c r="AW11" s="2257"/>
      <c r="BC11" s="155" t="s">
        <v>814</v>
      </c>
      <c r="BD11" s="269">
        <v>44718</v>
      </c>
    </row>
    <row r="12" spans="1:56" s="155" customFormat="1" ht="18" customHeight="1">
      <c r="A12" s="2255" t="s">
        <v>949</v>
      </c>
      <c r="B12" s="2256"/>
      <c r="C12" s="2256"/>
      <c r="D12" s="2256"/>
      <c r="E12" s="2256"/>
      <c r="F12" s="2256"/>
      <c r="G12" s="2256"/>
      <c r="H12" s="2256"/>
      <c r="I12" s="2256"/>
      <c r="J12" s="2256"/>
      <c r="K12" s="2257"/>
      <c r="L12" s="2258"/>
      <c r="M12" s="2258"/>
      <c r="N12" s="2258"/>
      <c r="O12" s="2258"/>
      <c r="P12" s="2258"/>
      <c r="Q12" s="2258"/>
      <c r="R12" s="2258"/>
      <c r="S12" s="2258"/>
      <c r="T12" s="2258"/>
      <c r="U12" s="2273"/>
      <c r="V12" s="2274"/>
      <c r="W12" s="2274"/>
      <c r="X12" s="2275"/>
      <c r="Y12" s="2258"/>
      <c r="Z12" s="2258"/>
      <c r="AA12" s="2258"/>
      <c r="AB12" s="2258"/>
      <c r="AC12" s="2258"/>
      <c r="AD12" s="2258"/>
      <c r="AE12" s="2258"/>
      <c r="AF12" s="2258"/>
      <c r="AG12" s="2258"/>
      <c r="AH12" s="2258"/>
      <c r="AI12" s="2258"/>
      <c r="AJ12" s="2258"/>
      <c r="AK12" s="2258"/>
      <c r="AL12" s="2259" t="str">
        <f>IF(AL10="","",'먼지측정 사전 Data'!H95)</f>
        <v/>
      </c>
      <c r="AM12" s="2259"/>
      <c r="AN12" s="2259"/>
      <c r="AO12" s="2259"/>
      <c r="AP12" s="2259"/>
      <c r="AQ12" s="2259"/>
      <c r="AR12" s="2255"/>
      <c r="AS12" s="2256"/>
      <c r="AT12" s="2256"/>
      <c r="AU12" s="2256"/>
      <c r="AV12" s="2256"/>
      <c r="AW12" s="2257"/>
      <c r="BC12" s="155" t="s">
        <v>815</v>
      </c>
      <c r="BD12" s="269">
        <v>44788</v>
      </c>
    </row>
    <row r="13" spans="1:56" s="155" customFormat="1" ht="18" customHeight="1">
      <c r="A13" s="2255" t="s">
        <v>947</v>
      </c>
      <c r="B13" s="2256"/>
      <c r="C13" s="2256"/>
      <c r="D13" s="2256"/>
      <c r="E13" s="2256"/>
      <c r="F13" s="2256"/>
      <c r="G13" s="2256"/>
      <c r="H13" s="2256"/>
      <c r="I13" s="2256"/>
      <c r="J13" s="2256"/>
      <c r="K13" s="2257"/>
      <c r="L13" s="2258"/>
      <c r="M13" s="2258"/>
      <c r="N13" s="2258"/>
      <c r="O13" s="2258"/>
      <c r="P13" s="2258"/>
      <c r="Q13" s="2258"/>
      <c r="R13" s="2258"/>
      <c r="S13" s="2258"/>
      <c r="T13" s="2258"/>
      <c r="U13" s="2273"/>
      <c r="V13" s="2274"/>
      <c r="W13" s="2274"/>
      <c r="X13" s="2275"/>
      <c r="Y13" s="2258"/>
      <c r="Z13" s="2258"/>
      <c r="AA13" s="2258"/>
      <c r="AB13" s="2258"/>
      <c r="AC13" s="2258"/>
      <c r="AD13" s="2258"/>
      <c r="AE13" s="2258"/>
      <c r="AF13" s="2258"/>
      <c r="AG13" s="2258"/>
      <c r="AH13" s="2258"/>
      <c r="AI13" s="2258"/>
      <c r="AJ13" s="2258"/>
      <c r="AK13" s="2258"/>
      <c r="AL13" s="2269" t="str">
        <f>IF(AL10="","",'먼지측정 사전 Data'!H97)</f>
        <v/>
      </c>
      <c r="AM13" s="2269"/>
      <c r="AN13" s="2269"/>
      <c r="AO13" s="2269"/>
      <c r="AP13" s="2269"/>
      <c r="AQ13" s="2269"/>
      <c r="AR13" s="2255"/>
      <c r="AS13" s="2256"/>
      <c r="AT13" s="2256"/>
      <c r="AU13" s="2256"/>
      <c r="AV13" s="2256"/>
      <c r="AW13" s="2257"/>
      <c r="BC13" s="155" t="s">
        <v>816</v>
      </c>
      <c r="BD13" s="269">
        <v>44816</v>
      </c>
    </row>
    <row r="14" spans="1:56" s="155" customFormat="1" ht="30" customHeight="1">
      <c r="A14" s="2270" t="s">
        <v>948</v>
      </c>
      <c r="B14" s="2271"/>
      <c r="C14" s="2271"/>
      <c r="D14" s="2271"/>
      <c r="E14" s="2271"/>
      <c r="F14" s="2271"/>
      <c r="G14" s="2271"/>
      <c r="H14" s="2271"/>
      <c r="I14" s="2271"/>
      <c r="J14" s="2271"/>
      <c r="K14" s="2272"/>
      <c r="L14" s="2258"/>
      <c r="M14" s="2258"/>
      <c r="N14" s="2258"/>
      <c r="O14" s="2258"/>
      <c r="P14" s="2258"/>
      <c r="Q14" s="2258"/>
      <c r="R14" s="2258"/>
      <c r="S14" s="2258"/>
      <c r="T14" s="2258"/>
      <c r="U14" s="2273"/>
      <c r="V14" s="2274"/>
      <c r="W14" s="2274"/>
      <c r="X14" s="2275"/>
      <c r="Y14" s="2258"/>
      <c r="Z14" s="2258"/>
      <c r="AA14" s="2258"/>
      <c r="AB14" s="2258"/>
      <c r="AC14" s="2258"/>
      <c r="AD14" s="2258"/>
      <c r="AE14" s="2258"/>
      <c r="AF14" s="2258"/>
      <c r="AG14" s="2258"/>
      <c r="AH14" s="2258"/>
      <c r="AI14" s="2258"/>
      <c r="AJ14" s="2258"/>
      <c r="AK14" s="2258"/>
      <c r="AL14" s="2269" t="str">
        <f>IF(AL11="","",'먼지측정 사전 Data'!H99)</f>
        <v/>
      </c>
      <c r="AM14" s="2269"/>
      <c r="AN14" s="2269"/>
      <c r="AO14" s="2269"/>
      <c r="AP14" s="2269"/>
      <c r="AQ14" s="2269"/>
      <c r="AR14" s="2255"/>
      <c r="AS14" s="2256"/>
      <c r="AT14" s="2256"/>
      <c r="AU14" s="2256"/>
      <c r="AV14" s="2256"/>
      <c r="AW14" s="2257"/>
      <c r="BD14" s="269"/>
    </row>
    <row r="15" spans="1:56" s="155" customFormat="1" ht="18" customHeight="1">
      <c r="A15" s="2260" t="s">
        <v>790</v>
      </c>
      <c r="B15" s="2261"/>
      <c r="C15" s="2261"/>
      <c r="D15" s="2261"/>
      <c r="E15" s="2261"/>
      <c r="F15" s="2261"/>
      <c r="G15" s="2261"/>
      <c r="H15" s="2261"/>
      <c r="I15" s="2261"/>
      <c r="J15" s="2261"/>
      <c r="K15" s="2262"/>
      <c r="L15" s="2268" t="s">
        <v>792</v>
      </c>
      <c r="M15" s="2268"/>
      <c r="N15" s="2268"/>
      <c r="O15" s="2268"/>
      <c r="P15" s="2268"/>
      <c r="Q15" s="2268" t="s">
        <v>793</v>
      </c>
      <c r="R15" s="2268"/>
      <c r="S15" s="2268"/>
      <c r="T15" s="2268"/>
      <c r="U15" s="2289" t="s">
        <v>794</v>
      </c>
      <c r="V15" s="2290"/>
      <c r="W15" s="2290"/>
      <c r="X15" s="2291"/>
      <c r="Y15" s="2268" t="s">
        <v>795</v>
      </c>
      <c r="Z15" s="2268"/>
      <c r="AA15" s="2268"/>
      <c r="AB15" s="2268"/>
      <c r="AC15" s="2268"/>
      <c r="AD15" s="2268"/>
      <c r="AE15" s="2268"/>
      <c r="AF15" s="2267" t="s">
        <v>796</v>
      </c>
      <c r="AG15" s="2267"/>
      <c r="AH15" s="2267"/>
      <c r="AI15" s="2267"/>
      <c r="AJ15" s="2267"/>
      <c r="AK15" s="2267"/>
      <c r="AL15" s="2267" t="s">
        <v>797</v>
      </c>
      <c r="AM15" s="2267"/>
      <c r="AN15" s="2267"/>
      <c r="AO15" s="2267"/>
      <c r="AP15" s="2267"/>
      <c r="AQ15" s="2267"/>
      <c r="AR15" s="2286" t="s">
        <v>789</v>
      </c>
      <c r="AS15" s="2287"/>
      <c r="AT15" s="2287"/>
      <c r="AU15" s="2287"/>
      <c r="AV15" s="2287"/>
      <c r="AW15" s="2288"/>
      <c r="AX15" s="153"/>
      <c r="BC15" s="155" t="s">
        <v>817</v>
      </c>
      <c r="BD15" s="269">
        <v>44837</v>
      </c>
    </row>
    <row r="16" spans="1:56" s="155" customFormat="1" ht="18" customHeight="1">
      <c r="A16" s="2263"/>
      <c r="B16" s="2264"/>
      <c r="C16" s="2264"/>
      <c r="D16" s="2264"/>
      <c r="E16" s="2264"/>
      <c r="F16" s="2264"/>
      <c r="G16" s="2264"/>
      <c r="H16" s="2264"/>
      <c r="I16" s="2264"/>
      <c r="J16" s="2264"/>
      <c r="K16" s="2265"/>
      <c r="L16" s="2268" t="s">
        <v>798</v>
      </c>
      <c r="M16" s="2268"/>
      <c r="N16" s="2268"/>
      <c r="O16" s="2268"/>
      <c r="P16" s="2268"/>
      <c r="Q16" s="2268" t="s">
        <v>799</v>
      </c>
      <c r="R16" s="2268"/>
      <c r="S16" s="2268"/>
      <c r="T16" s="2268"/>
      <c r="U16" s="2289" t="s">
        <v>381</v>
      </c>
      <c r="V16" s="2290"/>
      <c r="W16" s="2290"/>
      <c r="X16" s="2291"/>
      <c r="Y16" s="2268" t="s">
        <v>800</v>
      </c>
      <c r="Z16" s="2268"/>
      <c r="AA16" s="2268"/>
      <c r="AB16" s="2268"/>
      <c r="AC16" s="2268"/>
      <c r="AD16" s="2268"/>
      <c r="AE16" s="2268"/>
      <c r="AF16" s="2268" t="s">
        <v>791</v>
      </c>
      <c r="AG16" s="2268"/>
      <c r="AH16" s="2268"/>
      <c r="AI16" s="2268"/>
      <c r="AJ16" s="2268"/>
      <c r="AK16" s="2268"/>
      <c r="AL16" s="2268" t="s">
        <v>791</v>
      </c>
      <c r="AM16" s="2268"/>
      <c r="AN16" s="2268"/>
      <c r="AO16" s="2268"/>
      <c r="AP16" s="2268"/>
      <c r="AQ16" s="2268"/>
      <c r="AR16" s="2255" t="s">
        <v>801</v>
      </c>
      <c r="AS16" s="2256"/>
      <c r="AT16" s="2256"/>
      <c r="AU16" s="2256"/>
      <c r="AV16" s="2256"/>
      <c r="AW16" s="2257"/>
      <c r="AX16" s="153"/>
      <c r="BC16" s="155" t="s">
        <v>818</v>
      </c>
      <c r="BD16" s="269">
        <v>44844</v>
      </c>
    </row>
    <row r="17" spans="1:57" s="155" customFormat="1" ht="18" customHeight="1">
      <c r="A17" s="2255" t="str">
        <f>'옵티마 시험일지'!I7</f>
        <v>KGAR-26-0-0</v>
      </c>
      <c r="B17" s="2256"/>
      <c r="C17" s="2256"/>
      <c r="D17" s="2256"/>
      <c r="E17" s="2256"/>
      <c r="F17" s="2256"/>
      <c r="G17" s="2256"/>
      <c r="H17" s="2256"/>
      <c r="I17" s="2256"/>
      <c r="J17" s="2256"/>
      <c r="K17" s="2257"/>
      <c r="L17" s="2268" t="str">
        <f>IF(AL12="","",'먼지측정 사전 Data'!R80)</f>
        <v/>
      </c>
      <c r="M17" s="2268"/>
      <c r="N17" s="2268"/>
      <c r="O17" s="2268"/>
      <c r="P17" s="2268"/>
      <c r="Q17" s="2279" t="str">
        <f>IF(AL12="","",'먼지측정 사전 Data'!R74)</f>
        <v/>
      </c>
      <c r="R17" s="2279"/>
      <c r="S17" s="2279"/>
      <c r="T17" s="2279"/>
      <c r="U17" s="2292" t="str">
        <f>IF(AL12="","",'먼지측정 사전 Data'!M9)</f>
        <v/>
      </c>
      <c r="V17" s="2293"/>
      <c r="W17" s="2293"/>
      <c r="X17" s="2294"/>
      <c r="Y17" s="2280" t="str">
        <f>IF(AL12="","",'먼지측정 사전 Data'!U86)</f>
        <v/>
      </c>
      <c r="Z17" s="2268"/>
      <c r="AA17" s="2268"/>
      <c r="AB17" s="2268"/>
      <c r="AC17" s="2268"/>
      <c r="AD17" s="2268"/>
      <c r="AE17" s="2268"/>
      <c r="AF17" s="2268" t="str">
        <f>IF('(구)계산일지2 사용X'!T27="","",'(구)계산일지2 사용X'!T27)</f>
        <v/>
      </c>
      <c r="AG17" s="2268"/>
      <c r="AH17" s="2268"/>
      <c r="AI17" s="2268"/>
      <c r="AJ17" s="2268"/>
      <c r="AK17" s="2268"/>
      <c r="AL17" s="2268" t="str">
        <f>IF('(구)계산일지2 사용X'!T28="","",'(구)계산일지2 사용X'!T28)</f>
        <v/>
      </c>
      <c r="AM17" s="2268"/>
      <c r="AN17" s="2268"/>
      <c r="AO17" s="2268"/>
      <c r="AP17" s="2268"/>
      <c r="AQ17" s="2268"/>
      <c r="AR17" s="2276" t="str">
        <f>IF('(구)계산일지2 사용X'!T27="",IF(AL10="","",ROUND((AL14*1000)/(L17*273/(273+Q17)*(U17+Y17)/760),1)),IF(AL10="","",ROUND((AL14*1000)/(L17*273/(273+Q17)*(U17+Y17)/760),1))*((21-AF17)/(21-AL17)))</f>
        <v/>
      </c>
      <c r="AS17" s="2277"/>
      <c r="AT17" s="2277"/>
      <c r="AU17" s="2277"/>
      <c r="AV17" s="2277"/>
      <c r="AW17" s="2278"/>
      <c r="BC17" s="155" t="s">
        <v>819</v>
      </c>
      <c r="BD17" s="269">
        <v>44920</v>
      </c>
    </row>
    <row r="18" spans="1:57" s="155" customFormat="1" ht="18" customHeight="1">
      <c r="A18" s="2255"/>
      <c r="B18" s="2256"/>
      <c r="C18" s="2256"/>
      <c r="D18" s="2256"/>
      <c r="E18" s="2256"/>
      <c r="F18" s="2256"/>
      <c r="G18" s="2256"/>
      <c r="H18" s="2256"/>
      <c r="I18" s="2256"/>
      <c r="J18" s="2256"/>
      <c r="K18" s="2257"/>
      <c r="L18" s="2268"/>
      <c r="M18" s="2268"/>
      <c r="N18" s="2268"/>
      <c r="O18" s="2268"/>
      <c r="P18" s="2268"/>
      <c r="Q18" s="2268"/>
      <c r="R18" s="2268"/>
      <c r="S18" s="2268"/>
      <c r="T18" s="2268"/>
      <c r="U18" s="2289"/>
      <c r="V18" s="2290"/>
      <c r="W18" s="2290"/>
      <c r="X18" s="2291"/>
      <c r="Y18" s="2268"/>
      <c r="Z18" s="2268"/>
      <c r="AA18" s="2268"/>
      <c r="AB18" s="2268"/>
      <c r="AC18" s="2268"/>
      <c r="AD18" s="2268"/>
      <c r="AE18" s="2268"/>
      <c r="AF18" s="2268"/>
      <c r="AG18" s="2268"/>
      <c r="AH18" s="2268"/>
      <c r="AI18" s="2268"/>
      <c r="AJ18" s="2268"/>
      <c r="AK18" s="2268"/>
      <c r="AL18" s="2268"/>
      <c r="AM18" s="2268"/>
      <c r="AN18" s="2268"/>
      <c r="AO18" s="2268"/>
      <c r="AP18" s="2268"/>
      <c r="AQ18" s="2268"/>
      <c r="AR18" s="2255"/>
      <c r="AS18" s="2256"/>
      <c r="AT18" s="2256"/>
      <c r="AU18" s="2256"/>
      <c r="AV18" s="2256"/>
      <c r="AW18" s="2257"/>
    </row>
    <row r="19" spans="1:57" s="155" customFormat="1" ht="18" customHeight="1">
      <c r="A19" s="2255"/>
      <c r="B19" s="2256"/>
      <c r="C19" s="2256"/>
      <c r="D19" s="2256"/>
      <c r="E19" s="2256"/>
      <c r="F19" s="2256"/>
      <c r="G19" s="2256"/>
      <c r="H19" s="2256"/>
      <c r="I19" s="2256"/>
      <c r="J19" s="2256"/>
      <c r="K19" s="2257"/>
      <c r="L19" s="2258"/>
      <c r="M19" s="2258"/>
      <c r="N19" s="2258"/>
      <c r="O19" s="2258"/>
      <c r="P19" s="2258"/>
      <c r="Q19" s="2258"/>
      <c r="R19" s="2258"/>
      <c r="S19" s="2258"/>
      <c r="T19" s="2258"/>
      <c r="U19" s="2273"/>
      <c r="V19" s="2274"/>
      <c r="W19" s="2274"/>
      <c r="X19" s="2275"/>
      <c r="Y19" s="2258"/>
      <c r="Z19" s="2258"/>
      <c r="AA19" s="2258"/>
      <c r="AB19" s="2258"/>
      <c r="AC19" s="2258"/>
      <c r="AD19" s="2258"/>
      <c r="AE19" s="2258"/>
      <c r="AF19" s="2258"/>
      <c r="AG19" s="2258"/>
      <c r="AH19" s="2258"/>
      <c r="AI19" s="2258"/>
      <c r="AJ19" s="2258"/>
      <c r="AK19" s="2258"/>
      <c r="AL19" s="2258"/>
      <c r="AM19" s="2258"/>
      <c r="AN19" s="2258"/>
      <c r="AO19" s="2258"/>
      <c r="AP19" s="2258"/>
      <c r="AQ19" s="2258"/>
      <c r="AR19" s="2255"/>
      <c r="AS19" s="2256"/>
      <c r="AT19" s="2256"/>
      <c r="AU19" s="2256"/>
      <c r="AV19" s="2256"/>
      <c r="AW19" s="2257"/>
    </row>
    <row r="20" spans="1:57" s="155" customFormat="1" ht="18" customHeight="1">
      <c r="A20" s="2255"/>
      <c r="B20" s="2256"/>
      <c r="C20" s="2256"/>
      <c r="D20" s="2256"/>
      <c r="E20" s="2256"/>
      <c r="F20" s="2256"/>
      <c r="G20" s="2256"/>
      <c r="H20" s="2256"/>
      <c r="I20" s="2256"/>
      <c r="J20" s="2256"/>
      <c r="K20" s="2257"/>
      <c r="L20" s="2258"/>
      <c r="M20" s="2258"/>
      <c r="N20" s="2258"/>
      <c r="O20" s="2258"/>
      <c r="P20" s="2258"/>
      <c r="Q20" s="2258"/>
      <c r="R20" s="2258"/>
      <c r="S20" s="2258"/>
      <c r="T20" s="2258"/>
      <c r="U20" s="2273"/>
      <c r="V20" s="2274"/>
      <c r="W20" s="2274"/>
      <c r="X20" s="2275"/>
      <c r="Y20" s="2258"/>
      <c r="Z20" s="2258"/>
      <c r="AA20" s="2258"/>
      <c r="AB20" s="2258"/>
      <c r="AC20" s="2258"/>
      <c r="AD20" s="2258"/>
      <c r="AE20" s="2258"/>
      <c r="AF20" s="2258"/>
      <c r="AG20" s="2258"/>
      <c r="AH20" s="2258"/>
      <c r="AI20" s="2258"/>
      <c r="AJ20" s="2258"/>
      <c r="AK20" s="2258"/>
      <c r="AL20" s="2258"/>
      <c r="AM20" s="2258"/>
      <c r="AN20" s="2258"/>
      <c r="AO20" s="2258"/>
      <c r="AP20" s="2258"/>
      <c r="AQ20" s="2258"/>
      <c r="AR20" s="2255"/>
      <c r="AS20" s="2256"/>
      <c r="AT20" s="2256"/>
      <c r="AU20" s="2256"/>
      <c r="AV20" s="2256"/>
      <c r="AW20" s="2257"/>
      <c r="BE20" s="37"/>
    </row>
    <row r="21" spans="1:57" s="155" customFormat="1" ht="18" customHeight="1">
      <c r="A21" s="2255"/>
      <c r="B21" s="2256"/>
      <c r="C21" s="2256"/>
      <c r="D21" s="2256"/>
      <c r="E21" s="2256"/>
      <c r="F21" s="2256"/>
      <c r="G21" s="2256"/>
      <c r="H21" s="2256"/>
      <c r="I21" s="2256"/>
      <c r="J21" s="2256"/>
      <c r="K21" s="2257"/>
      <c r="L21" s="2258"/>
      <c r="M21" s="2258"/>
      <c r="N21" s="2258"/>
      <c r="O21" s="2258"/>
      <c r="P21" s="2258"/>
      <c r="Q21" s="2258"/>
      <c r="R21" s="2258"/>
      <c r="S21" s="2258"/>
      <c r="T21" s="2258"/>
      <c r="U21" s="2273"/>
      <c r="V21" s="2274"/>
      <c r="W21" s="2274"/>
      <c r="X21" s="2275"/>
      <c r="Y21" s="2258"/>
      <c r="Z21" s="2258"/>
      <c r="AA21" s="2258"/>
      <c r="AB21" s="2258"/>
      <c r="AC21" s="2258"/>
      <c r="AD21" s="2258"/>
      <c r="AE21" s="2258"/>
      <c r="AF21" s="2258"/>
      <c r="AG21" s="2258"/>
      <c r="AH21" s="2258"/>
      <c r="AI21" s="2258"/>
      <c r="AJ21" s="2258"/>
      <c r="AK21" s="2258"/>
      <c r="AL21" s="2258"/>
      <c r="AM21" s="2258"/>
      <c r="AN21" s="2258"/>
      <c r="AO21" s="2258"/>
      <c r="AP21" s="2258"/>
      <c r="AQ21" s="2258"/>
      <c r="AR21" s="2255"/>
      <c r="AS21" s="2256"/>
      <c r="AT21" s="2256"/>
      <c r="AU21" s="2256"/>
      <c r="AV21" s="2256"/>
      <c r="AW21" s="2257"/>
      <c r="BE21" s="37"/>
    </row>
    <row r="22" spans="1:57" s="155" customFormat="1" ht="18" customHeight="1">
      <c r="A22" s="2255"/>
      <c r="B22" s="2256"/>
      <c r="C22" s="2256"/>
      <c r="D22" s="2256"/>
      <c r="E22" s="2256"/>
      <c r="F22" s="2256"/>
      <c r="G22" s="2256"/>
      <c r="H22" s="2256"/>
      <c r="I22" s="2256"/>
      <c r="J22" s="2256"/>
      <c r="K22" s="2257"/>
      <c r="L22" s="2258"/>
      <c r="M22" s="2258"/>
      <c r="N22" s="2258"/>
      <c r="O22" s="2258"/>
      <c r="P22" s="2258"/>
      <c r="Q22" s="2258"/>
      <c r="R22" s="2258"/>
      <c r="S22" s="2258"/>
      <c r="T22" s="2258"/>
      <c r="U22" s="2273"/>
      <c r="V22" s="2274"/>
      <c r="W22" s="2274"/>
      <c r="X22" s="2275"/>
      <c r="Y22" s="2258"/>
      <c r="Z22" s="2258"/>
      <c r="AA22" s="2258"/>
      <c r="AB22" s="2258"/>
      <c r="AC22" s="2258"/>
      <c r="AD22" s="2258"/>
      <c r="AE22" s="2258"/>
      <c r="AF22" s="2258"/>
      <c r="AG22" s="2258"/>
      <c r="AH22" s="2258"/>
      <c r="AI22" s="2258"/>
      <c r="AJ22" s="2258"/>
      <c r="AK22" s="2258"/>
      <c r="AL22" s="2258"/>
      <c r="AM22" s="2258"/>
      <c r="AN22" s="2258"/>
      <c r="AO22" s="2258"/>
      <c r="AP22" s="2258"/>
      <c r="AQ22" s="2258"/>
      <c r="AR22" s="2255"/>
      <c r="AS22" s="2256"/>
      <c r="AT22" s="2256"/>
      <c r="AU22" s="2256"/>
      <c r="AV22" s="2256"/>
      <c r="AW22" s="2257"/>
    </row>
    <row r="23" spans="1:57" s="155" customFormat="1" ht="18" customHeight="1">
      <c r="A23" s="2255"/>
      <c r="B23" s="2256"/>
      <c r="C23" s="2256"/>
      <c r="D23" s="2256"/>
      <c r="E23" s="2256"/>
      <c r="F23" s="2256"/>
      <c r="G23" s="2256"/>
      <c r="H23" s="2256"/>
      <c r="I23" s="2256"/>
      <c r="J23" s="2256"/>
      <c r="K23" s="2257"/>
      <c r="L23" s="2258"/>
      <c r="M23" s="2258"/>
      <c r="N23" s="2258"/>
      <c r="O23" s="2258"/>
      <c r="P23" s="2258"/>
      <c r="Q23" s="2258"/>
      <c r="R23" s="2258"/>
      <c r="S23" s="2258"/>
      <c r="T23" s="2258"/>
      <c r="U23" s="2273"/>
      <c r="V23" s="2274"/>
      <c r="W23" s="2274"/>
      <c r="X23" s="2275"/>
      <c r="Y23" s="2258"/>
      <c r="Z23" s="2258"/>
      <c r="AA23" s="2258"/>
      <c r="AB23" s="2258"/>
      <c r="AC23" s="2258"/>
      <c r="AD23" s="2258"/>
      <c r="AE23" s="2258"/>
      <c r="AF23" s="2258"/>
      <c r="AG23" s="2258"/>
      <c r="AH23" s="2258"/>
      <c r="AI23" s="2258"/>
      <c r="AJ23" s="2258"/>
      <c r="AK23" s="2258"/>
      <c r="AL23" s="2258"/>
      <c r="AM23" s="2258"/>
      <c r="AN23" s="2258"/>
      <c r="AO23" s="2258"/>
      <c r="AP23" s="2258"/>
      <c r="AQ23" s="2258"/>
      <c r="AR23" s="2255"/>
      <c r="AS23" s="2256"/>
      <c r="AT23" s="2256"/>
      <c r="AU23" s="2256"/>
      <c r="AV23" s="2256"/>
      <c r="AW23" s="2257"/>
    </row>
    <row r="24" spans="1:57" s="155" customFormat="1" ht="18" customHeight="1">
      <c r="A24" s="2255"/>
      <c r="B24" s="2256"/>
      <c r="C24" s="2256"/>
      <c r="D24" s="2256"/>
      <c r="E24" s="2256"/>
      <c r="F24" s="2256"/>
      <c r="G24" s="2256"/>
      <c r="H24" s="2256"/>
      <c r="I24" s="2256"/>
      <c r="J24" s="2256"/>
      <c r="K24" s="2257"/>
      <c r="L24" s="2258"/>
      <c r="M24" s="2258"/>
      <c r="N24" s="2258"/>
      <c r="O24" s="2258"/>
      <c r="P24" s="2258"/>
      <c r="Q24" s="2258"/>
      <c r="R24" s="2258"/>
      <c r="S24" s="2258"/>
      <c r="T24" s="2258"/>
      <c r="U24" s="2273"/>
      <c r="V24" s="2274"/>
      <c r="W24" s="2274"/>
      <c r="X24" s="2275"/>
      <c r="Y24" s="2258"/>
      <c r="Z24" s="2258"/>
      <c r="AA24" s="2258"/>
      <c r="AB24" s="2258"/>
      <c r="AC24" s="2258"/>
      <c r="AD24" s="2258"/>
      <c r="AE24" s="2258"/>
      <c r="AF24" s="2258"/>
      <c r="AG24" s="2258"/>
      <c r="AH24" s="2258"/>
      <c r="AI24" s="2258"/>
      <c r="AJ24" s="2258"/>
      <c r="AK24" s="2258"/>
      <c r="AL24" s="2258"/>
      <c r="AM24" s="2258"/>
      <c r="AN24" s="2258"/>
      <c r="AO24" s="2258"/>
      <c r="AP24" s="2258"/>
      <c r="AQ24" s="2258"/>
      <c r="AR24" s="2255"/>
      <c r="AS24" s="2256"/>
      <c r="AT24" s="2256"/>
      <c r="AU24" s="2256"/>
      <c r="AV24" s="2256"/>
      <c r="AW24" s="2257"/>
    </row>
    <row r="25" spans="1:57" s="155" customFormat="1" ht="18" customHeight="1">
      <c r="A25" s="2255"/>
      <c r="B25" s="2256"/>
      <c r="C25" s="2256"/>
      <c r="D25" s="2256"/>
      <c r="E25" s="2256"/>
      <c r="F25" s="2256"/>
      <c r="G25" s="2256"/>
      <c r="H25" s="2256"/>
      <c r="I25" s="2256"/>
      <c r="J25" s="2256"/>
      <c r="K25" s="2257"/>
      <c r="L25" s="2258"/>
      <c r="M25" s="2258"/>
      <c r="N25" s="2258"/>
      <c r="O25" s="2258"/>
      <c r="P25" s="2258"/>
      <c r="Q25" s="2258"/>
      <c r="R25" s="2258"/>
      <c r="S25" s="2258"/>
      <c r="T25" s="2258"/>
      <c r="U25" s="2273"/>
      <c r="V25" s="2274"/>
      <c r="W25" s="2274"/>
      <c r="X25" s="2275"/>
      <c r="Y25" s="2258"/>
      <c r="Z25" s="2258"/>
      <c r="AA25" s="2258"/>
      <c r="AB25" s="2258"/>
      <c r="AC25" s="2258"/>
      <c r="AD25" s="2258"/>
      <c r="AE25" s="2258"/>
      <c r="AF25" s="2258"/>
      <c r="AG25" s="2258"/>
      <c r="AH25" s="2258"/>
      <c r="AI25" s="2258"/>
      <c r="AJ25" s="2258"/>
      <c r="AK25" s="2258"/>
      <c r="AL25" s="2258"/>
      <c r="AM25" s="2258"/>
      <c r="AN25" s="2258"/>
      <c r="AO25" s="2258"/>
      <c r="AP25" s="2258"/>
      <c r="AQ25" s="2258"/>
      <c r="AR25" s="2255"/>
      <c r="AS25" s="2256"/>
      <c r="AT25" s="2256"/>
      <c r="AU25" s="2256"/>
      <c r="AV25" s="2256"/>
      <c r="AW25" s="2257"/>
    </row>
    <row r="26" spans="1:57" s="155" customFormat="1" ht="18" customHeight="1">
      <c r="A26" s="2255"/>
      <c r="B26" s="2256"/>
      <c r="C26" s="2256"/>
      <c r="D26" s="2256"/>
      <c r="E26" s="2256"/>
      <c r="F26" s="2256"/>
      <c r="G26" s="2256"/>
      <c r="H26" s="2256"/>
      <c r="I26" s="2256"/>
      <c r="J26" s="2256"/>
      <c r="K26" s="2257"/>
      <c r="L26" s="2258"/>
      <c r="M26" s="2258"/>
      <c r="N26" s="2258"/>
      <c r="O26" s="2258"/>
      <c r="P26" s="2258"/>
      <c r="Q26" s="2258"/>
      <c r="R26" s="2258"/>
      <c r="S26" s="2258"/>
      <c r="T26" s="2258"/>
      <c r="U26" s="2273"/>
      <c r="V26" s="2274"/>
      <c r="W26" s="2274"/>
      <c r="X26" s="2275"/>
      <c r="Y26" s="2258"/>
      <c r="Z26" s="2258"/>
      <c r="AA26" s="2258"/>
      <c r="AB26" s="2258"/>
      <c r="AC26" s="2258"/>
      <c r="AD26" s="2258"/>
      <c r="AE26" s="2258"/>
      <c r="AF26" s="2258"/>
      <c r="AG26" s="2258"/>
      <c r="AH26" s="2258"/>
      <c r="AI26" s="2258"/>
      <c r="AJ26" s="2258"/>
      <c r="AK26" s="2258"/>
      <c r="AL26" s="2258"/>
      <c r="AM26" s="2258"/>
      <c r="AN26" s="2258"/>
      <c r="AO26" s="2258"/>
      <c r="AP26" s="2258"/>
      <c r="AQ26" s="2258"/>
      <c r="AR26" s="2255"/>
      <c r="AS26" s="2256"/>
      <c r="AT26" s="2256"/>
      <c r="AU26" s="2256"/>
      <c r="AV26" s="2256"/>
      <c r="AW26" s="2257"/>
    </row>
    <row r="27" spans="1:57" s="155" customFormat="1" ht="18" customHeight="1">
      <c r="A27" s="2255"/>
      <c r="B27" s="2256"/>
      <c r="C27" s="2256"/>
      <c r="D27" s="2256"/>
      <c r="E27" s="2256"/>
      <c r="F27" s="2256"/>
      <c r="G27" s="2256"/>
      <c r="H27" s="2256"/>
      <c r="I27" s="2256"/>
      <c r="J27" s="2256"/>
      <c r="K27" s="2257"/>
      <c r="L27" s="2258"/>
      <c r="M27" s="2258"/>
      <c r="N27" s="2258"/>
      <c r="O27" s="2258"/>
      <c r="P27" s="2258"/>
      <c r="Q27" s="2258"/>
      <c r="R27" s="2258"/>
      <c r="S27" s="2258"/>
      <c r="T27" s="2258"/>
      <c r="U27" s="2273"/>
      <c r="V27" s="2274"/>
      <c r="W27" s="2274"/>
      <c r="X27" s="2275"/>
      <c r="Y27" s="2258"/>
      <c r="Z27" s="2258"/>
      <c r="AA27" s="2258"/>
      <c r="AB27" s="2258"/>
      <c r="AC27" s="2258"/>
      <c r="AD27" s="2258"/>
      <c r="AE27" s="2258"/>
      <c r="AF27" s="2258"/>
      <c r="AG27" s="2258"/>
      <c r="AH27" s="2258"/>
      <c r="AI27" s="2258"/>
      <c r="AJ27" s="2258"/>
      <c r="AK27" s="2258"/>
      <c r="AL27" s="2258"/>
      <c r="AM27" s="2258"/>
      <c r="AN27" s="2258"/>
      <c r="AO27" s="2258"/>
      <c r="AP27" s="2258"/>
      <c r="AQ27" s="2258"/>
      <c r="AR27" s="2255"/>
      <c r="AS27" s="2256"/>
      <c r="AT27" s="2256"/>
      <c r="AU27" s="2256"/>
      <c r="AV27" s="2256"/>
      <c r="AW27" s="2257"/>
    </row>
    <row r="28" spans="1:57" s="155" customFormat="1" ht="18" customHeight="1">
      <c r="AE28" s="2284"/>
      <c r="AF28" s="2285"/>
      <c r="AG28" s="2285"/>
      <c r="AH28" s="2285"/>
      <c r="AI28" s="2285"/>
      <c r="AJ28" s="2285"/>
      <c r="AK28" s="2285"/>
      <c r="AL28" s="2285"/>
      <c r="AM28" s="2285"/>
      <c r="AN28" s="2285"/>
      <c r="AO28" s="2285"/>
      <c r="AP28" s="2285"/>
      <c r="AQ28" s="2285"/>
      <c r="AR28" s="2285"/>
      <c r="AS28" s="2285"/>
      <c r="AT28" s="2285"/>
      <c r="AU28" s="2285"/>
      <c r="AV28" s="2285"/>
      <c r="AW28" s="2285"/>
    </row>
    <row r="29" spans="1:57" s="155" customFormat="1" ht="18" customHeight="1">
      <c r="B29" s="155" t="s">
        <v>781</v>
      </c>
    </row>
    <row r="30" spans="1:57" s="155" customFormat="1" ht="18" customHeight="1">
      <c r="B30" s="2312" t="s">
        <v>291</v>
      </c>
      <c r="C30" s="2312" t="s">
        <v>201</v>
      </c>
      <c r="D30" s="2312" t="s">
        <v>292</v>
      </c>
      <c r="E30" s="2312"/>
      <c r="F30" s="2312"/>
      <c r="G30" s="2312"/>
      <c r="H30" s="2312"/>
      <c r="I30" s="2312"/>
      <c r="J30" s="2312"/>
      <c r="K30" s="2312"/>
      <c r="L30" s="2312"/>
      <c r="M30" s="2312"/>
      <c r="N30" s="2312"/>
      <c r="O30" s="2312"/>
      <c r="P30" s="2312"/>
      <c r="Q30" s="2312"/>
    </row>
    <row r="31" spans="1:57" s="155" customFormat="1" ht="18" customHeight="1">
      <c r="B31" s="2312"/>
      <c r="C31" s="2312"/>
      <c r="D31" s="2283" t="s">
        <v>293</v>
      </c>
      <c r="E31" s="2283"/>
      <c r="F31" s="2283" t="s">
        <v>197</v>
      </c>
      <c r="G31" s="2315">
        <v>273</v>
      </c>
      <c r="H31" s="2315"/>
      <c r="I31" s="2315"/>
      <c r="J31" s="2283" t="s">
        <v>197</v>
      </c>
      <c r="K31" s="2315" t="s">
        <v>286</v>
      </c>
      <c r="L31" s="2315"/>
      <c r="M31" s="2315" t="s">
        <v>294</v>
      </c>
      <c r="N31" s="2315"/>
      <c r="O31" s="268" t="s">
        <v>295</v>
      </c>
      <c r="P31" s="2295">
        <v>13.6</v>
      </c>
      <c r="Q31" s="2295"/>
    </row>
    <row r="32" spans="1:57" s="155" customFormat="1" ht="18" customHeight="1">
      <c r="B32" s="267"/>
      <c r="C32" s="267"/>
      <c r="D32" s="2283"/>
      <c r="E32" s="2283"/>
      <c r="F32" s="2283"/>
      <c r="G32" s="2283" t="s">
        <v>296</v>
      </c>
      <c r="H32" s="2283"/>
      <c r="I32" s="2283"/>
      <c r="J32" s="2283"/>
      <c r="K32" s="2283">
        <v>760</v>
      </c>
      <c r="L32" s="2283"/>
      <c r="M32" s="2283"/>
      <c r="N32" s="2283"/>
      <c r="O32" s="2283"/>
      <c r="P32" s="2283"/>
      <c r="Q32" s="2283"/>
    </row>
    <row r="33" spans="2:30" s="155" customFormat="1" ht="18" customHeight="1">
      <c r="B33" s="155" t="s">
        <v>802</v>
      </c>
    </row>
    <row r="34" spans="2:30" s="155" customFormat="1" ht="18" customHeight="1">
      <c r="B34" s="2312" t="s">
        <v>216</v>
      </c>
      <c r="C34" s="2312" t="s">
        <v>201</v>
      </c>
      <c r="D34" s="2313" t="s">
        <v>291</v>
      </c>
      <c r="E34" s="2313"/>
      <c r="F34" s="2312" t="s">
        <v>197</v>
      </c>
      <c r="G34" s="2314" t="s">
        <v>301</v>
      </c>
      <c r="H34" s="2314"/>
      <c r="I34" s="2314"/>
      <c r="J34" s="2314"/>
      <c r="W34" s="259"/>
      <c r="X34" s="259"/>
      <c r="Y34" s="259"/>
    </row>
    <row r="35" spans="2:30" s="155" customFormat="1" ht="18" customHeight="1">
      <c r="B35" s="2312"/>
      <c r="C35" s="2312"/>
      <c r="D35" s="2313"/>
      <c r="E35" s="2313"/>
      <c r="F35" s="2312"/>
      <c r="G35" s="2312" t="s">
        <v>303</v>
      </c>
      <c r="H35" s="2312"/>
      <c r="I35" s="2312"/>
      <c r="J35" s="2312"/>
    </row>
    <row r="36" spans="2:30" s="155" customFormat="1" ht="18" customHeight="1"/>
    <row r="37" spans="2:30" s="155" customFormat="1" ht="18" customHeight="1">
      <c r="B37" s="265" t="s">
        <v>281</v>
      </c>
      <c r="C37" s="266"/>
      <c r="D37" s="266" t="s">
        <v>307</v>
      </c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296" t="s">
        <v>308</v>
      </c>
      <c r="R37" s="2296"/>
      <c r="S37" s="266" t="s">
        <v>807</v>
      </c>
      <c r="T37" s="266"/>
      <c r="U37" s="266"/>
      <c r="V37" s="266"/>
      <c r="W37" s="266"/>
      <c r="X37" s="266"/>
      <c r="Y37" s="266"/>
      <c r="Z37" s="266"/>
      <c r="AA37" s="266"/>
      <c r="AB37" s="266"/>
      <c r="AC37" s="266"/>
    </row>
    <row r="38" spans="2:30" s="155" customFormat="1" ht="18" customHeight="1">
      <c r="B38" s="266" t="s">
        <v>260</v>
      </c>
      <c r="C38" s="266"/>
      <c r="D38" s="266" t="s">
        <v>309</v>
      </c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296" t="s">
        <v>251</v>
      </c>
      <c r="R38" s="2296"/>
      <c r="S38" s="266" t="s">
        <v>255</v>
      </c>
      <c r="T38" s="266"/>
      <c r="U38" s="266"/>
      <c r="V38" s="266"/>
      <c r="W38" s="266"/>
      <c r="X38" s="266"/>
      <c r="Y38" s="266"/>
      <c r="Z38" s="266"/>
      <c r="AA38" s="266"/>
      <c r="AB38" s="266"/>
      <c r="AC38" s="266"/>
    </row>
    <row r="39" spans="2:30" s="155" customFormat="1" ht="18" customHeight="1">
      <c r="B39" s="266" t="s">
        <v>279</v>
      </c>
      <c r="C39" s="266"/>
      <c r="D39" s="266" t="s">
        <v>310</v>
      </c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296" t="s">
        <v>267</v>
      </c>
      <c r="R39" s="2296"/>
      <c r="S39" s="266" t="s">
        <v>311</v>
      </c>
      <c r="T39" s="266"/>
      <c r="U39" s="266"/>
      <c r="V39" s="266"/>
      <c r="W39" s="266"/>
      <c r="X39" s="266"/>
      <c r="Y39" s="266"/>
      <c r="Z39" s="266"/>
      <c r="AA39" s="266"/>
      <c r="AB39" s="266"/>
      <c r="AC39" s="266"/>
    </row>
    <row r="40" spans="2:30" s="155" customFormat="1" ht="18" customHeight="1">
      <c r="B40" s="266" t="s">
        <v>312</v>
      </c>
      <c r="C40" s="266"/>
      <c r="D40" s="266" t="s">
        <v>313</v>
      </c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296" t="s">
        <v>273</v>
      </c>
      <c r="R40" s="2296"/>
      <c r="S40" s="266" t="s">
        <v>808</v>
      </c>
      <c r="T40" s="266"/>
      <c r="U40" s="266"/>
      <c r="V40" s="266"/>
      <c r="W40" s="266"/>
      <c r="X40" s="266"/>
      <c r="Y40" s="266"/>
      <c r="Z40" s="266"/>
      <c r="AA40" s="266"/>
      <c r="AB40" s="266"/>
      <c r="AC40" s="266"/>
    </row>
    <row r="41" spans="2:30" s="155" customFormat="1" ht="18" customHeight="1">
      <c r="B41" s="266" t="s">
        <v>249</v>
      </c>
      <c r="C41" s="266"/>
      <c r="D41" s="266" t="s">
        <v>314</v>
      </c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296" t="s">
        <v>251</v>
      </c>
      <c r="R41" s="2296"/>
      <c r="S41" s="266" t="s">
        <v>252</v>
      </c>
      <c r="T41" s="266"/>
      <c r="U41" s="266"/>
      <c r="V41" s="266"/>
      <c r="W41" s="266"/>
      <c r="X41" s="266"/>
      <c r="Y41" s="266"/>
      <c r="Z41" s="266"/>
      <c r="AA41" s="266"/>
      <c r="AB41" s="266"/>
      <c r="AC41" s="266"/>
    </row>
    <row r="42" spans="2:30" s="155" customFormat="1" ht="18" customHeight="1">
      <c r="B42" s="266" t="s">
        <v>276</v>
      </c>
      <c r="C42" s="266"/>
      <c r="D42" s="266" t="s">
        <v>809</v>
      </c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</row>
    <row r="43" spans="2:30" s="155" customFormat="1" ht="18" customHeight="1">
      <c r="B43" s="266" t="s">
        <v>315</v>
      </c>
      <c r="C43" s="266"/>
      <c r="D43" s="266" t="s">
        <v>316</v>
      </c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2296" t="s">
        <v>317</v>
      </c>
      <c r="R43" s="2296"/>
      <c r="S43" s="266" t="s">
        <v>318</v>
      </c>
      <c r="T43" s="266"/>
      <c r="U43" s="266"/>
      <c r="V43" s="266"/>
      <c r="W43" s="266"/>
      <c r="X43" s="266"/>
      <c r="Y43" s="266"/>
      <c r="Z43" s="266"/>
      <c r="AA43" s="266"/>
      <c r="AB43" s="266"/>
      <c r="AC43" s="266"/>
    </row>
    <row r="44" spans="2:30" s="155" customFormat="1" ht="18" customHeight="1">
      <c r="B44" s="266" t="s">
        <v>319</v>
      </c>
      <c r="C44" s="266"/>
      <c r="D44" s="266" t="s">
        <v>810</v>
      </c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297" t="s">
        <v>803</v>
      </c>
      <c r="R44" s="2297"/>
      <c r="S44" s="266" t="s">
        <v>804</v>
      </c>
      <c r="T44" s="266"/>
      <c r="U44" s="266"/>
      <c r="V44" s="266"/>
      <c r="W44" s="266"/>
      <c r="X44" s="266"/>
      <c r="Y44" s="266"/>
      <c r="Z44" s="266"/>
      <c r="AA44" s="266"/>
      <c r="AB44" s="266"/>
      <c r="AC44" s="266"/>
    </row>
    <row r="45" spans="2:30" s="155" customFormat="1" ht="18" customHeight="1">
      <c r="B45" s="266"/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</row>
    <row r="46" spans="2:30" s="155" customFormat="1" ht="18" customHeight="1">
      <c r="B46" s="155" t="s">
        <v>782</v>
      </c>
      <c r="C46" s="260"/>
      <c r="D46" s="260"/>
      <c r="E46" s="261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260"/>
      <c r="Q46" s="260"/>
      <c r="R46" s="260"/>
      <c r="AD46" s="155" t="s">
        <v>783</v>
      </c>
    </row>
    <row r="47" spans="2:30" s="155" customFormat="1" ht="18" customHeight="1">
      <c r="B47" s="2250" t="s">
        <v>784</v>
      </c>
      <c r="C47" s="2250"/>
      <c r="D47" s="2250"/>
      <c r="E47" s="2250"/>
      <c r="F47" s="2250"/>
      <c r="G47" s="2250"/>
      <c r="H47" s="2250"/>
      <c r="I47" s="2250"/>
      <c r="J47" s="255" t="s">
        <v>46</v>
      </c>
      <c r="K47" s="262"/>
      <c r="L47" s="262"/>
      <c r="M47" s="262"/>
      <c r="N47" s="262"/>
      <c r="Q47" s="260"/>
      <c r="R47" s="260"/>
    </row>
    <row r="48" spans="2:30" s="155" customFormat="1" ht="18" customHeight="1">
      <c r="B48" s="2250" t="s">
        <v>785</v>
      </c>
      <c r="C48" s="2250"/>
      <c r="D48" s="2250"/>
      <c r="E48" s="2250"/>
      <c r="F48" s="2250"/>
      <c r="G48" s="2250"/>
      <c r="H48" s="2250"/>
      <c r="I48" s="2250"/>
      <c r="J48" s="255" t="s">
        <v>46</v>
      </c>
      <c r="K48" s="263"/>
      <c r="L48" s="263"/>
      <c r="M48" s="263"/>
      <c r="N48" s="263"/>
      <c r="Q48" s="260"/>
      <c r="R48" s="260"/>
    </row>
    <row r="49" spans="2:18" s="155" customFormat="1" ht="18" customHeight="1">
      <c r="B49" s="2250" t="s">
        <v>786</v>
      </c>
      <c r="C49" s="2250"/>
      <c r="D49" s="2250"/>
      <c r="E49" s="2250"/>
      <c r="F49" s="2250"/>
      <c r="G49" s="2250"/>
      <c r="H49" s="2250"/>
      <c r="I49" s="2250"/>
      <c r="J49" s="255" t="s">
        <v>46</v>
      </c>
      <c r="K49" s="263"/>
      <c r="L49" s="263"/>
      <c r="M49" s="263"/>
      <c r="N49" s="263"/>
      <c r="Q49" s="260"/>
      <c r="R49" s="260"/>
    </row>
    <row r="50" spans="2:18" s="155" customFormat="1" ht="18" customHeight="1">
      <c r="B50" s="155" t="s">
        <v>787</v>
      </c>
      <c r="C50" s="260"/>
      <c r="D50" s="261"/>
      <c r="E50" s="260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</row>
  </sheetData>
  <mergeCells count="202">
    <mergeCell ref="A1:AL2"/>
    <mergeCell ref="AM1:AQ1"/>
    <mergeCell ref="AR1:AW1"/>
    <mergeCell ref="AM2:AQ2"/>
    <mergeCell ref="AR2:AW2"/>
    <mergeCell ref="B34:B35"/>
    <mergeCell ref="C34:C35"/>
    <mergeCell ref="F34:F35"/>
    <mergeCell ref="D34:E35"/>
    <mergeCell ref="G35:J35"/>
    <mergeCell ref="G34:J34"/>
    <mergeCell ref="M31:N31"/>
    <mergeCell ref="K31:L31"/>
    <mergeCell ref="G32:I32"/>
    <mergeCell ref="D31:E32"/>
    <mergeCell ref="G31:I31"/>
    <mergeCell ref="K32:Q32"/>
    <mergeCell ref="U27:X27"/>
    <mergeCell ref="Y27:AE27"/>
    <mergeCell ref="B30:B31"/>
    <mergeCell ref="J31:J32"/>
    <mergeCell ref="C30:C31"/>
    <mergeCell ref="D30:Q30"/>
    <mergeCell ref="U9:X9"/>
    <mergeCell ref="Y9:AE9"/>
    <mergeCell ref="AF9:AK9"/>
    <mergeCell ref="AL8:AQ9"/>
    <mergeCell ref="U15:X15"/>
    <mergeCell ref="L8:P8"/>
    <mergeCell ref="Q8:T8"/>
    <mergeCell ref="U8:X8"/>
    <mergeCell ref="L10:P10"/>
    <mergeCell ref="Q10:T10"/>
    <mergeCell ref="U10:X10"/>
    <mergeCell ref="L11:P11"/>
    <mergeCell ref="Q15:T15"/>
    <mergeCell ref="U11:X11"/>
    <mergeCell ref="Y11:AE11"/>
    <mergeCell ref="L12:P12"/>
    <mergeCell ref="Q12:T12"/>
    <mergeCell ref="U12:X12"/>
    <mergeCell ref="Y12:AE12"/>
    <mergeCell ref="L13:P13"/>
    <mergeCell ref="Q13:T13"/>
    <mergeCell ref="P31:Q31"/>
    <mergeCell ref="Q40:R40"/>
    <mergeCell ref="Q38:R38"/>
    <mergeCell ref="Q43:R43"/>
    <mergeCell ref="Q41:R41"/>
    <mergeCell ref="Q44:R44"/>
    <mergeCell ref="Q37:R37"/>
    <mergeCell ref="Q39:R39"/>
    <mergeCell ref="L15:P15"/>
    <mergeCell ref="F31:F32"/>
    <mergeCell ref="L25:P25"/>
    <mergeCell ref="Q25:T25"/>
    <mergeCell ref="L26:P26"/>
    <mergeCell ref="Q26:T26"/>
    <mergeCell ref="AE28:AW28"/>
    <mergeCell ref="AR20:AW20"/>
    <mergeCell ref="AR19:AW19"/>
    <mergeCell ref="AR15:AW15"/>
    <mergeCell ref="AF16:AK16"/>
    <mergeCell ref="AL16:AQ16"/>
    <mergeCell ref="AR16:AW16"/>
    <mergeCell ref="L18:P18"/>
    <mergeCell ref="Q18:T18"/>
    <mergeCell ref="U18:X18"/>
    <mergeCell ref="Y18:AE18"/>
    <mergeCell ref="U16:X16"/>
    <mergeCell ref="U17:X17"/>
    <mergeCell ref="L16:P16"/>
    <mergeCell ref="Q16:T16"/>
    <mergeCell ref="U25:X25"/>
    <mergeCell ref="Y25:AE25"/>
    <mergeCell ref="U26:X26"/>
    <mergeCell ref="Y26:AE26"/>
    <mergeCell ref="B47:I47"/>
    <mergeCell ref="B48:I48"/>
    <mergeCell ref="B49:I49"/>
    <mergeCell ref="J4:Q4"/>
    <mergeCell ref="AG4:AQ4"/>
    <mergeCell ref="AG5:AQ5"/>
    <mergeCell ref="AG6:AQ6"/>
    <mergeCell ref="AR26:AW26"/>
    <mergeCell ref="A27:K27"/>
    <mergeCell ref="AF27:AK27"/>
    <mergeCell ref="AL27:AQ27"/>
    <mergeCell ref="AR27:AW27"/>
    <mergeCell ref="L27:P27"/>
    <mergeCell ref="Q27:T27"/>
    <mergeCell ref="A26:K26"/>
    <mergeCell ref="AF26:AK26"/>
    <mergeCell ref="AL26:AQ26"/>
    <mergeCell ref="AR24:AW24"/>
    <mergeCell ref="A25:K25"/>
    <mergeCell ref="AF25:AK25"/>
    <mergeCell ref="AL25:AQ25"/>
    <mergeCell ref="AR25:AW25"/>
    <mergeCell ref="L24:P24"/>
    <mergeCell ref="Q24:T24"/>
    <mergeCell ref="A24:K24"/>
    <mergeCell ref="AF24:AK24"/>
    <mergeCell ref="AL24:AQ24"/>
    <mergeCell ref="U24:X24"/>
    <mergeCell ref="Y24:AE24"/>
    <mergeCell ref="AR22:AW22"/>
    <mergeCell ref="A23:K23"/>
    <mergeCell ref="AF23:AK23"/>
    <mergeCell ref="AL23:AQ23"/>
    <mergeCell ref="AR23:AW23"/>
    <mergeCell ref="L22:P22"/>
    <mergeCell ref="Q22:T22"/>
    <mergeCell ref="A22:K22"/>
    <mergeCell ref="AF22:AK22"/>
    <mergeCell ref="AL22:AQ22"/>
    <mergeCell ref="U22:X22"/>
    <mergeCell ref="Y22:AE22"/>
    <mergeCell ref="L23:P23"/>
    <mergeCell ref="Q23:T23"/>
    <mergeCell ref="U23:X23"/>
    <mergeCell ref="Y23:AE23"/>
    <mergeCell ref="A21:K21"/>
    <mergeCell ref="AF21:AK21"/>
    <mergeCell ref="AL21:AQ21"/>
    <mergeCell ref="AR21:AW21"/>
    <mergeCell ref="L20:P20"/>
    <mergeCell ref="Q20:T20"/>
    <mergeCell ref="A20:K20"/>
    <mergeCell ref="AF20:AK20"/>
    <mergeCell ref="AL20:AQ20"/>
    <mergeCell ref="U20:X20"/>
    <mergeCell ref="Y20:AE20"/>
    <mergeCell ref="L21:P21"/>
    <mergeCell ref="Q21:T21"/>
    <mergeCell ref="U21:X21"/>
    <mergeCell ref="Y21:AE21"/>
    <mergeCell ref="A19:K19"/>
    <mergeCell ref="AF19:AK19"/>
    <mergeCell ref="AL19:AQ19"/>
    <mergeCell ref="L19:P19"/>
    <mergeCell ref="Q19:T19"/>
    <mergeCell ref="U19:X19"/>
    <mergeCell ref="Y19:AE19"/>
    <mergeCell ref="AR17:AW17"/>
    <mergeCell ref="A18:K18"/>
    <mergeCell ref="AF18:AK18"/>
    <mergeCell ref="AL18:AQ18"/>
    <mergeCell ref="AR18:AW18"/>
    <mergeCell ref="AF17:AK17"/>
    <mergeCell ref="AL17:AQ17"/>
    <mergeCell ref="A17:K17"/>
    <mergeCell ref="L17:P17"/>
    <mergeCell ref="Q17:T17"/>
    <mergeCell ref="Y17:AE17"/>
    <mergeCell ref="A15:K16"/>
    <mergeCell ref="AF15:AK15"/>
    <mergeCell ref="AL15:AQ15"/>
    <mergeCell ref="AR12:AW12"/>
    <mergeCell ref="A12:K12"/>
    <mergeCell ref="AF12:AK12"/>
    <mergeCell ref="AL12:AQ12"/>
    <mergeCell ref="Y16:AE16"/>
    <mergeCell ref="A13:K13"/>
    <mergeCell ref="Y13:AE13"/>
    <mergeCell ref="AF13:AK13"/>
    <mergeCell ref="AL13:AQ13"/>
    <mergeCell ref="AR13:AW13"/>
    <mergeCell ref="A14:K14"/>
    <mergeCell ref="L14:P14"/>
    <mergeCell ref="Q14:T14"/>
    <mergeCell ref="U14:X14"/>
    <mergeCell ref="Y14:AE14"/>
    <mergeCell ref="Y15:AE15"/>
    <mergeCell ref="U13:X13"/>
    <mergeCell ref="AF14:AK14"/>
    <mergeCell ref="AL14:AQ14"/>
    <mergeCell ref="AR14:AW14"/>
    <mergeCell ref="D3:H3"/>
    <mergeCell ref="AB3:AE3"/>
    <mergeCell ref="D4:H4"/>
    <mergeCell ref="AB4:AE4"/>
    <mergeCell ref="D5:H5"/>
    <mergeCell ref="AB5:AE5"/>
    <mergeCell ref="AR10:AW10"/>
    <mergeCell ref="A11:K11"/>
    <mergeCell ref="AF11:AK11"/>
    <mergeCell ref="AL11:AQ11"/>
    <mergeCell ref="AR11:AW11"/>
    <mergeCell ref="Y10:AE10"/>
    <mergeCell ref="Q11:T11"/>
    <mergeCell ref="D6:H6"/>
    <mergeCell ref="AB6:AE6"/>
    <mergeCell ref="A8:K9"/>
    <mergeCell ref="AR8:AW9"/>
    <mergeCell ref="A10:K10"/>
    <mergeCell ref="AF10:AK10"/>
    <mergeCell ref="AL10:AQ10"/>
    <mergeCell ref="Y8:AE8"/>
    <mergeCell ref="AF8:AK8"/>
    <mergeCell ref="L9:P9"/>
    <mergeCell ref="Q9:T9"/>
  </mergeCells>
  <phoneticPr fontId="51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3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AG43"/>
  <sheetViews>
    <sheetView view="pageBreakPreview" zoomScaleNormal="100" zoomScaleSheetLayoutView="100" workbookViewId="0">
      <selection activeCell="AP18" sqref="AP18"/>
    </sheetView>
  </sheetViews>
  <sheetFormatPr defaultColWidth="3.125" defaultRowHeight="18" customHeight="1"/>
  <cols>
    <col min="1" max="1" width="3.375" style="431" customWidth="1"/>
    <col min="2" max="2" width="1.875" style="431" customWidth="1"/>
    <col min="3" max="3" width="3.125" style="431" customWidth="1"/>
    <col min="4" max="4" width="2.125" style="431" customWidth="1"/>
    <col min="5" max="6" width="3.75" style="431" customWidth="1"/>
    <col min="7" max="7" width="2.25" style="431" customWidth="1"/>
    <col min="8" max="9" width="3.75" style="431" customWidth="1"/>
    <col min="10" max="10" width="2" style="431" customWidth="1"/>
    <col min="11" max="13" width="3.125" style="431" customWidth="1"/>
    <col min="14" max="14" width="3.75" style="431" customWidth="1"/>
    <col min="15" max="15" width="2.125" style="431" customWidth="1"/>
    <col min="16" max="16" width="2.25" style="431" customWidth="1"/>
    <col min="17" max="17" width="4.125" style="431" customWidth="1"/>
    <col min="18" max="18" width="4" style="431" customWidth="1"/>
    <col min="19" max="20" width="3.125" style="431" customWidth="1"/>
    <col min="21" max="21" width="5.125" style="431" customWidth="1"/>
    <col min="22" max="22" width="2" style="431" customWidth="1"/>
    <col min="23" max="23" width="3.25" style="431" customWidth="1"/>
    <col min="24" max="24" width="1.75" style="431" customWidth="1"/>
    <col min="25" max="25" width="4.875" style="431" customWidth="1"/>
    <col min="26" max="26" width="3.75" style="431" customWidth="1"/>
    <col min="27" max="27" width="4.25" style="431" customWidth="1"/>
    <col min="28" max="28" width="2.375" style="431" customWidth="1"/>
    <col min="29" max="29" width="2" style="431" customWidth="1"/>
    <col min="30" max="30" width="4.875" style="431" customWidth="1"/>
    <col min="31" max="31" width="2.25" style="431" customWidth="1"/>
    <col min="32" max="32" width="4.25" style="431" customWidth="1"/>
    <col min="33" max="33" width="2.25" style="431" customWidth="1"/>
    <col min="34" max="16384" width="3.125" style="431"/>
  </cols>
  <sheetData>
    <row r="1" spans="1:33" ht="21" customHeight="1">
      <c r="A1" s="430"/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2316" t="s">
        <v>851</v>
      </c>
      <c r="AA1" s="2316"/>
      <c r="AB1" s="2316"/>
      <c r="AC1" s="2316"/>
      <c r="AD1" s="2316" t="s">
        <v>852</v>
      </c>
      <c r="AE1" s="2316"/>
      <c r="AF1" s="2316"/>
    </row>
    <row r="2" spans="1:33" ht="24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428"/>
    </row>
    <row r="3" spans="1:33" ht="33" customHeight="1">
      <c r="A3" s="2369" t="s">
        <v>512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369"/>
    </row>
    <row r="4" spans="1:33" ht="24" customHeight="1">
      <c r="A4" s="432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432"/>
    </row>
    <row r="5" spans="1:33" ht="18.75" customHeight="1">
      <c r="A5" s="432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432"/>
    </row>
    <row r="6" spans="1:33" ht="18.75" customHeight="1">
      <c r="A6" s="432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'먼지측정 사전 Data'!H5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432"/>
    </row>
    <row r="7" spans="1:33" ht="18.75" customHeight="1">
      <c r="A7" s="432"/>
      <c r="B7" s="2195" t="s">
        <v>520</v>
      </c>
      <c r="C7" s="2195"/>
      <c r="D7" s="2195"/>
      <c r="E7" s="2195"/>
      <c r="F7" s="2195"/>
      <c r="G7" s="52" t="s">
        <v>15</v>
      </c>
      <c r="H7" s="2228">
        <f>'먼지측정 사전 Data'!H4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432"/>
    </row>
    <row r="8" spans="1:33" ht="12.75" customHeight="1"/>
    <row r="9" spans="1:33" ht="18" customHeight="1" thickBot="1">
      <c r="A9" s="436"/>
      <c r="B9" s="436"/>
      <c r="C9" s="436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330" t="s">
        <v>192</v>
      </c>
      <c r="B11" s="2331"/>
      <c r="C11" s="2331"/>
      <c r="D11" s="2331"/>
      <c r="N11" s="438"/>
      <c r="O11" s="437" t="s">
        <v>193</v>
      </c>
      <c r="Q11" s="2374" t="e">
        <f>ROUND(22.4/18*X12*100/(Q14*273/(273+U15)*(Y14+AA14)/760+22.4/18*AF14),2)</f>
        <v>#DIV/0!</v>
      </c>
      <c r="R11" s="2374"/>
      <c r="S11" s="2374"/>
      <c r="T11" s="2374"/>
      <c r="U11" s="2374"/>
      <c r="W11" s="437" t="s">
        <v>194</v>
      </c>
      <c r="AG11" s="439"/>
    </row>
    <row r="12" spans="1:33" s="437" customFormat="1" ht="18" customHeight="1">
      <c r="A12" s="440"/>
      <c r="C12" s="441"/>
      <c r="D12" s="441"/>
      <c r="E12" s="441"/>
      <c r="F12" s="2331">
        <v>22.4</v>
      </c>
      <c r="G12" s="2331"/>
      <c r="H12" s="2331" t="s">
        <v>195</v>
      </c>
      <c r="I12" s="2331" t="s">
        <v>196</v>
      </c>
      <c r="J12" s="2331"/>
      <c r="N12" s="442"/>
      <c r="P12" s="441"/>
      <c r="Q12" s="441"/>
      <c r="R12" s="441"/>
      <c r="S12" s="441"/>
      <c r="T12" s="441"/>
      <c r="U12" s="462">
        <v>22.4</v>
      </c>
      <c r="V12" s="2331" t="s">
        <v>197</v>
      </c>
      <c r="W12" s="2331" t="s">
        <v>198</v>
      </c>
      <c r="X12" s="2331">
        <f>'먼지측정 사전 Data'!H50</f>
        <v>0</v>
      </c>
      <c r="Y12" s="2331"/>
      <c r="Z12" s="2331" t="s">
        <v>199</v>
      </c>
      <c r="AA12" s="2331" t="s">
        <v>196</v>
      </c>
      <c r="AB12" s="2331"/>
      <c r="AG12" s="439"/>
    </row>
    <row r="13" spans="1:33" s="437" customFormat="1" ht="18" customHeight="1">
      <c r="A13" s="2330" t="s">
        <v>200</v>
      </c>
      <c r="B13" s="2331" t="s">
        <v>201</v>
      </c>
      <c r="C13" s="463"/>
      <c r="D13" s="463"/>
      <c r="E13" s="463"/>
      <c r="F13" s="2361">
        <v>18</v>
      </c>
      <c r="G13" s="2361"/>
      <c r="H13" s="2346"/>
      <c r="I13" s="2346"/>
      <c r="J13" s="2346"/>
      <c r="N13" s="2348" t="s">
        <v>200</v>
      </c>
      <c r="O13" s="2331" t="s">
        <v>201</v>
      </c>
      <c r="P13" s="463"/>
      <c r="Q13" s="463"/>
      <c r="R13" s="463"/>
      <c r="S13" s="463"/>
      <c r="T13" s="463"/>
      <c r="U13" s="462">
        <v>18</v>
      </c>
      <c r="V13" s="2346"/>
      <c r="W13" s="2346"/>
      <c r="X13" s="2346"/>
      <c r="Y13" s="2346"/>
      <c r="Z13" s="2346"/>
      <c r="AA13" s="2346"/>
      <c r="AB13" s="2346"/>
      <c r="AG13" s="439"/>
    </row>
    <row r="14" spans="1:33" s="437" customFormat="1" ht="18" customHeight="1">
      <c r="A14" s="2330"/>
      <c r="B14" s="2331"/>
      <c r="C14" s="2336" t="s">
        <v>202</v>
      </c>
      <c r="D14" s="2336" t="s">
        <v>197</v>
      </c>
      <c r="E14" s="2336">
        <v>273</v>
      </c>
      <c r="F14" s="2336"/>
      <c r="G14" s="2336" t="s">
        <v>197</v>
      </c>
      <c r="H14" s="2336" t="s">
        <v>203</v>
      </c>
      <c r="I14" s="2336"/>
      <c r="J14" s="2336" t="s">
        <v>204</v>
      </c>
      <c r="K14" s="2336">
        <v>22.4</v>
      </c>
      <c r="L14" s="2336"/>
      <c r="M14" s="2336" t="s">
        <v>195</v>
      </c>
      <c r="N14" s="2348"/>
      <c r="O14" s="2331"/>
      <c r="P14" s="2336" t="s">
        <v>198</v>
      </c>
      <c r="Q14" s="2336">
        <f>'먼지측정 사전 Data'!H58</f>
        <v>0</v>
      </c>
      <c r="R14" s="2336" t="s">
        <v>205</v>
      </c>
      <c r="S14" s="2361">
        <v>273</v>
      </c>
      <c r="T14" s="2361"/>
      <c r="U14" s="2361"/>
      <c r="V14" s="498"/>
      <c r="W14" s="2336" t="s">
        <v>197</v>
      </c>
      <c r="X14" s="489" t="s">
        <v>198</v>
      </c>
      <c r="Y14" s="499">
        <f>'먼지측정 사전 Data'!H20</f>
        <v>0</v>
      </c>
      <c r="Z14" s="456" t="s">
        <v>206</v>
      </c>
      <c r="AA14" s="500">
        <f>'먼지측정 사전 Data'!O55</f>
        <v>0.87</v>
      </c>
      <c r="AB14" s="456" t="s">
        <v>199</v>
      </c>
      <c r="AC14" s="2336" t="s">
        <v>204</v>
      </c>
      <c r="AD14" s="501">
        <v>22.4</v>
      </c>
      <c r="AE14" s="2336" t="s">
        <v>198</v>
      </c>
      <c r="AF14" s="2366">
        <f>'먼지측정 사전 Data'!H50</f>
        <v>0</v>
      </c>
      <c r="AG14" s="2367" t="s">
        <v>199</v>
      </c>
    </row>
    <row r="15" spans="1:33" s="437" customFormat="1" ht="24" customHeight="1">
      <c r="A15" s="440"/>
      <c r="C15" s="2331"/>
      <c r="D15" s="2331"/>
      <c r="E15" s="2336" t="s">
        <v>207</v>
      </c>
      <c r="F15" s="2336"/>
      <c r="G15" s="2331"/>
      <c r="H15" s="2336">
        <v>760</v>
      </c>
      <c r="I15" s="2336"/>
      <c r="J15" s="2331"/>
      <c r="K15" s="2336">
        <v>18</v>
      </c>
      <c r="L15" s="2336"/>
      <c r="M15" s="2331"/>
      <c r="N15" s="442"/>
      <c r="P15" s="2331"/>
      <c r="Q15" s="2331"/>
      <c r="R15" s="2331"/>
      <c r="S15" s="2331" t="s">
        <v>208</v>
      </c>
      <c r="T15" s="2331"/>
      <c r="U15" s="453">
        <f>'먼지측정 사전 Data'!H53</f>
        <v>0</v>
      </c>
      <c r="V15" s="441" t="s">
        <v>199</v>
      </c>
      <c r="W15" s="2331"/>
      <c r="X15" s="489"/>
      <c r="Y15" s="2336">
        <v>760</v>
      </c>
      <c r="Z15" s="2336"/>
      <c r="AA15" s="2336"/>
      <c r="AB15" s="489"/>
      <c r="AC15" s="2331"/>
      <c r="AD15" s="437">
        <v>18</v>
      </c>
      <c r="AE15" s="2331"/>
      <c r="AF15" s="2334"/>
      <c r="AG15" s="2368"/>
    </row>
    <row r="16" spans="1:33" s="437" customFormat="1" ht="18" customHeight="1">
      <c r="A16" s="2335" t="s">
        <v>209</v>
      </c>
      <c r="B16" s="2336"/>
      <c r="C16" s="2336"/>
      <c r="D16" s="2336"/>
      <c r="E16" s="2336"/>
      <c r="F16" s="2364" t="s">
        <v>859</v>
      </c>
      <c r="G16" s="2364"/>
      <c r="H16" s="2364"/>
      <c r="I16" s="456"/>
      <c r="J16" s="456"/>
      <c r="K16" s="456"/>
      <c r="L16" s="456"/>
      <c r="M16" s="456"/>
      <c r="N16" s="2353" t="s">
        <v>209</v>
      </c>
      <c r="O16" s="2336"/>
      <c r="P16" s="2336"/>
      <c r="Q16" s="2336"/>
      <c r="R16" s="456" t="s">
        <v>201</v>
      </c>
      <c r="S16" s="2365" t="e">
        <f>ROUND(Q17*273/(273+U18)*(Y17+AA17)/760,3)</f>
        <v>#DIV/0!</v>
      </c>
      <c r="T16" s="2365"/>
      <c r="U16" s="2365"/>
      <c r="V16" s="2336" t="s">
        <v>860</v>
      </c>
      <c r="W16" s="2336"/>
      <c r="X16" s="456"/>
      <c r="Y16" s="456"/>
      <c r="Z16" s="456"/>
      <c r="AA16" s="456"/>
      <c r="AB16" s="456"/>
      <c r="AC16" s="456"/>
      <c r="AD16" s="456" t="s">
        <v>335</v>
      </c>
      <c r="AE16" s="456" t="s">
        <v>201</v>
      </c>
      <c r="AF16" s="457" t="e">
        <f>ROUND('먼지측정 사전 Data'!R17,2)</f>
        <v>#DIV/0!</v>
      </c>
      <c r="AG16" s="458"/>
    </row>
    <row r="17" spans="1:33" s="437" customFormat="1" ht="18" customHeight="1">
      <c r="A17" s="2330" t="s">
        <v>210</v>
      </c>
      <c r="B17" s="2331" t="s">
        <v>201</v>
      </c>
      <c r="C17" s="2331" t="s">
        <v>861</v>
      </c>
      <c r="D17" s="2331" t="s">
        <v>197</v>
      </c>
      <c r="E17" s="2346">
        <v>273</v>
      </c>
      <c r="F17" s="2346"/>
      <c r="G17" s="2331" t="s">
        <v>197</v>
      </c>
      <c r="H17" s="2346" t="s">
        <v>620</v>
      </c>
      <c r="I17" s="2346"/>
      <c r="N17" s="2348" t="s">
        <v>210</v>
      </c>
      <c r="O17" s="2331" t="s">
        <v>201</v>
      </c>
      <c r="P17" s="2331" t="s">
        <v>198</v>
      </c>
      <c r="Q17" s="2363" t="e">
        <f>AF16</f>
        <v>#DIV/0!</v>
      </c>
      <c r="R17" s="2331" t="s">
        <v>205</v>
      </c>
      <c r="S17" s="2334">
        <v>273</v>
      </c>
      <c r="T17" s="2334"/>
      <c r="U17" s="2334"/>
      <c r="V17" s="2334"/>
      <c r="W17" s="2331" t="s">
        <v>197</v>
      </c>
      <c r="X17" s="459" t="s">
        <v>198</v>
      </c>
      <c r="Y17" s="460">
        <f>'먼지측정 사전 Data'!H20</f>
        <v>0</v>
      </c>
      <c r="Z17" s="459" t="s">
        <v>206</v>
      </c>
      <c r="AA17" s="2326" t="e">
        <f>'먼지측정 사전 Data'!U71</f>
        <v>#DIV/0!</v>
      </c>
      <c r="AB17" s="2326"/>
      <c r="AC17" s="459" t="s">
        <v>199</v>
      </c>
      <c r="AD17" s="441"/>
      <c r="AG17" s="439"/>
    </row>
    <row r="18" spans="1:33" s="437" customFormat="1" ht="24" customHeight="1">
      <c r="A18" s="2355"/>
      <c r="B18" s="2346"/>
      <c r="C18" s="2346"/>
      <c r="D18" s="2346"/>
      <c r="E18" s="2346" t="s">
        <v>211</v>
      </c>
      <c r="F18" s="2346"/>
      <c r="G18" s="2346"/>
      <c r="H18" s="2361">
        <v>760</v>
      </c>
      <c r="I18" s="2361"/>
      <c r="J18" s="459"/>
      <c r="K18" s="459"/>
      <c r="L18" s="459"/>
      <c r="M18" s="459"/>
      <c r="N18" s="2349"/>
      <c r="O18" s="2346"/>
      <c r="P18" s="2346"/>
      <c r="Q18" s="2346"/>
      <c r="R18" s="2346"/>
      <c r="S18" s="2362" t="s">
        <v>208</v>
      </c>
      <c r="T18" s="2362"/>
      <c r="U18" s="461" t="e">
        <f>'먼지측정 사전 Data'!R69</f>
        <v>#DIV/0!</v>
      </c>
      <c r="V18" s="462" t="s">
        <v>199</v>
      </c>
      <c r="W18" s="2346"/>
      <c r="X18" s="2361">
        <v>760</v>
      </c>
      <c r="Y18" s="2361"/>
      <c r="Z18" s="2361"/>
      <c r="AA18" s="2361"/>
      <c r="AB18" s="2361"/>
      <c r="AC18" s="2361"/>
      <c r="AD18" s="463"/>
      <c r="AE18" s="459"/>
      <c r="AF18" s="459"/>
      <c r="AG18" s="464"/>
    </row>
    <row r="19" spans="1:33" s="437" customFormat="1" ht="18" customHeight="1">
      <c r="A19" s="2335" t="s">
        <v>212</v>
      </c>
      <c r="B19" s="2336"/>
      <c r="C19" s="2336"/>
      <c r="D19" s="2336"/>
      <c r="E19" s="2336"/>
      <c r="F19" s="2336"/>
      <c r="N19" s="2348" t="s">
        <v>213</v>
      </c>
      <c r="O19" s="2331"/>
      <c r="P19" s="2331"/>
      <c r="Q19" s="2331"/>
      <c r="R19" s="437" t="s">
        <v>201</v>
      </c>
      <c r="S19" s="2360" t="e">
        <f>ROUND(Q20*SQRT(2*9.81*Z20/V21),3)</f>
        <v>#DIV/0!</v>
      </c>
      <c r="T19" s="2360"/>
      <c r="U19" s="2360"/>
      <c r="V19" s="2331" t="s">
        <v>214</v>
      </c>
      <c r="W19" s="2331"/>
      <c r="AG19" s="439"/>
    </row>
    <row r="20" spans="1:33" s="437" customFormat="1" ht="18" customHeight="1">
      <c r="A20" s="2330" t="s">
        <v>215</v>
      </c>
      <c r="B20" s="2331" t="s">
        <v>201</v>
      </c>
      <c r="C20" s="437" t="s">
        <v>216</v>
      </c>
      <c r="D20" s="437" t="s">
        <v>198</v>
      </c>
      <c r="E20" s="2346" t="s">
        <v>217</v>
      </c>
      <c r="F20" s="2346"/>
      <c r="G20" s="437" t="s">
        <v>199</v>
      </c>
      <c r="N20" s="2348" t="s">
        <v>215</v>
      </c>
      <c r="O20" s="2331" t="s">
        <v>201</v>
      </c>
      <c r="P20" s="2331" t="s">
        <v>198</v>
      </c>
      <c r="Q20" s="2356">
        <f>'먼지측정 사전 Data'!H65</f>
        <v>0</v>
      </c>
      <c r="R20" s="2356"/>
      <c r="S20" s="2331" t="s">
        <v>205</v>
      </c>
      <c r="U20" s="459" t="s">
        <v>218</v>
      </c>
      <c r="V20" s="2346">
        <v>9.81</v>
      </c>
      <c r="W20" s="2346"/>
      <c r="X20" s="459" t="s">
        <v>197</v>
      </c>
      <c r="Y20" s="463" t="s">
        <v>198</v>
      </c>
      <c r="Z20" s="2358" t="e">
        <f>'먼지측정 사전 Data'!R70</f>
        <v>#DIV/0!</v>
      </c>
      <c r="AA20" s="2358"/>
      <c r="AB20" s="459" t="s">
        <v>199</v>
      </c>
      <c r="AG20" s="439"/>
    </row>
    <row r="21" spans="1:33" s="437" customFormat="1" ht="24" customHeight="1">
      <c r="A21" s="2355"/>
      <c r="B21" s="2346"/>
      <c r="C21" s="459"/>
      <c r="D21" s="459"/>
      <c r="E21" s="2346" t="s">
        <v>210</v>
      </c>
      <c r="F21" s="2346"/>
      <c r="G21" s="459"/>
      <c r="H21" s="459"/>
      <c r="I21" s="459"/>
      <c r="J21" s="459"/>
      <c r="K21" s="459"/>
      <c r="L21" s="459"/>
      <c r="M21" s="459"/>
      <c r="N21" s="2349"/>
      <c r="O21" s="2346"/>
      <c r="P21" s="2346"/>
      <c r="Q21" s="2357"/>
      <c r="R21" s="2357"/>
      <c r="S21" s="2346"/>
      <c r="T21" s="463"/>
      <c r="U21" s="465" t="s">
        <v>198</v>
      </c>
      <c r="V21" s="2359" t="e">
        <f>S16</f>
        <v>#DIV/0!</v>
      </c>
      <c r="W21" s="2359"/>
      <c r="X21" s="2359"/>
      <c r="Y21" s="2359"/>
      <c r="Z21" s="463" t="s">
        <v>199</v>
      </c>
      <c r="AA21" s="459"/>
      <c r="AB21" s="459"/>
      <c r="AC21" s="459"/>
      <c r="AD21" s="459"/>
      <c r="AE21" s="459"/>
      <c r="AF21" s="459"/>
      <c r="AG21" s="464"/>
    </row>
    <row r="22" spans="1:33" s="437" customFormat="1" ht="18" customHeight="1">
      <c r="A22" s="2335" t="s">
        <v>219</v>
      </c>
      <c r="B22" s="2336"/>
      <c r="C22" s="2336"/>
      <c r="D22" s="2336"/>
      <c r="E22" s="2336"/>
      <c r="F22" s="2336"/>
      <c r="G22" s="2336"/>
      <c r="H22" s="2336"/>
      <c r="I22" s="2336"/>
      <c r="J22" s="2336"/>
      <c r="K22" s="2336"/>
      <c r="L22" s="2336"/>
      <c r="N22" s="2353" t="s">
        <v>220</v>
      </c>
      <c r="O22" s="2336"/>
      <c r="P22" s="2336"/>
      <c r="Q22" s="2336"/>
      <c r="R22" s="2336"/>
      <c r="S22" s="2336"/>
      <c r="T22" s="2336"/>
      <c r="U22" s="2336"/>
      <c r="V22" s="2336"/>
      <c r="W22" s="2336"/>
      <c r="X22" s="2336"/>
      <c r="Y22" s="437" t="s">
        <v>201</v>
      </c>
      <c r="Z22" s="2354" t="str">
        <f>IF(COUNT('먼지측정 사전 Data'!H72)=0,"",ROUND(Q23*(V23/(100-W24))*18/22.4,2))</f>
        <v/>
      </c>
      <c r="AA22" s="2354"/>
      <c r="AB22" s="2354"/>
      <c r="AD22" s="437" t="s">
        <v>221</v>
      </c>
      <c r="AG22" s="439"/>
    </row>
    <row r="23" spans="1:33" s="437" customFormat="1" ht="18" customHeight="1">
      <c r="A23" s="2330" t="s">
        <v>222</v>
      </c>
      <c r="B23" s="2331"/>
      <c r="C23" s="2331" t="s">
        <v>223</v>
      </c>
      <c r="D23" s="2331" t="s">
        <v>197</v>
      </c>
      <c r="E23" s="2331" t="s">
        <v>224</v>
      </c>
      <c r="F23" s="2346" t="s">
        <v>200</v>
      </c>
      <c r="G23" s="2346"/>
      <c r="H23" s="2346"/>
      <c r="I23" s="2331" t="s">
        <v>205</v>
      </c>
      <c r="J23" s="2346">
        <v>18</v>
      </c>
      <c r="K23" s="2346"/>
      <c r="N23" s="2348" t="s">
        <v>225</v>
      </c>
      <c r="O23" s="2331" t="s">
        <v>201</v>
      </c>
      <c r="P23" s="2331" t="s">
        <v>198</v>
      </c>
      <c r="Q23" s="2350" t="str">
        <f>IF(COUNT('먼지측정 사전 Data'!H72)=0,"",'먼지측정 사전 Data'!R80*1000)</f>
        <v/>
      </c>
      <c r="R23" s="2350"/>
      <c r="S23" s="2319" t="s">
        <v>226</v>
      </c>
      <c r="T23" s="2331" t="s">
        <v>198</v>
      </c>
      <c r="U23" s="465" t="s">
        <v>198</v>
      </c>
      <c r="V23" s="2326" t="str">
        <f>IF(COUNT('먼지측정 사전 Data'!H72)=0,"",Q11)</f>
        <v/>
      </c>
      <c r="W23" s="2326"/>
      <c r="X23" s="2326"/>
      <c r="Y23" s="466" t="s">
        <v>199</v>
      </c>
      <c r="Z23" s="2331" t="s">
        <v>205</v>
      </c>
      <c r="AA23" s="2346">
        <v>18</v>
      </c>
      <c r="AB23" s="2346"/>
      <c r="AG23" s="439"/>
    </row>
    <row r="24" spans="1:33" s="437" customFormat="1" ht="24" customHeight="1">
      <c r="A24" s="2355"/>
      <c r="B24" s="2346"/>
      <c r="C24" s="2346"/>
      <c r="D24" s="2346"/>
      <c r="E24" s="2346"/>
      <c r="F24" s="2346" t="s">
        <v>227</v>
      </c>
      <c r="G24" s="2346"/>
      <c r="H24" s="2346"/>
      <c r="I24" s="2346"/>
      <c r="J24" s="2346">
        <v>22.4</v>
      </c>
      <c r="K24" s="2346"/>
      <c r="L24" s="459"/>
      <c r="M24" s="459"/>
      <c r="N24" s="2349"/>
      <c r="O24" s="2346"/>
      <c r="P24" s="2346"/>
      <c r="Q24" s="2351"/>
      <c r="R24" s="2351"/>
      <c r="S24" s="2334"/>
      <c r="T24" s="2346"/>
      <c r="U24" s="459" t="s">
        <v>228</v>
      </c>
      <c r="V24" s="459" t="s">
        <v>198</v>
      </c>
      <c r="W24" s="2347" t="str">
        <f>IF(COUNT('먼지측정 사전 Data'!H72)=0,"",Q11)</f>
        <v/>
      </c>
      <c r="X24" s="2347"/>
      <c r="Y24" s="459" t="s">
        <v>199</v>
      </c>
      <c r="Z24" s="2346"/>
      <c r="AA24" s="2346">
        <v>22.4</v>
      </c>
      <c r="AB24" s="2346"/>
      <c r="AC24" s="459"/>
      <c r="AD24" s="459"/>
      <c r="AE24" s="459"/>
      <c r="AF24" s="459"/>
      <c r="AG24" s="464"/>
    </row>
    <row r="25" spans="1:33" s="437" customFormat="1" ht="18" customHeight="1">
      <c r="A25" s="2335" t="s">
        <v>229</v>
      </c>
      <c r="B25" s="2336"/>
      <c r="C25" s="2336"/>
      <c r="D25" s="2336"/>
      <c r="E25" s="2336"/>
      <c r="F25" s="2336"/>
      <c r="G25" s="2336"/>
      <c r="H25" s="2336"/>
      <c r="I25" s="2336"/>
      <c r="J25" s="2336"/>
      <c r="M25" s="456"/>
      <c r="AG25" s="439"/>
    </row>
    <row r="26" spans="1:33" s="437" customFormat="1" ht="18" customHeight="1">
      <c r="A26" s="2337" t="s">
        <v>230</v>
      </c>
      <c r="B26" s="2338"/>
      <c r="C26" s="2331" t="s">
        <v>201</v>
      </c>
      <c r="D26" s="2342" t="s">
        <v>231</v>
      </c>
      <c r="E26" s="2342"/>
      <c r="F26" s="2342"/>
      <c r="G26" s="2342"/>
      <c r="H26" s="2342"/>
      <c r="I26" s="2342"/>
      <c r="J26" s="2342"/>
      <c r="K26" s="2342"/>
      <c r="L26" s="2342"/>
      <c r="M26" s="2342"/>
      <c r="N26" s="2342"/>
      <c r="O26" s="2342"/>
      <c r="P26" s="2342"/>
      <c r="Q26" s="2319" t="s">
        <v>232</v>
      </c>
      <c r="R26" s="2344" t="s">
        <v>862</v>
      </c>
      <c r="S26" s="2344"/>
      <c r="T26" s="2344"/>
      <c r="U26" s="2344"/>
      <c r="V26" s="2319" t="s">
        <v>199</v>
      </c>
      <c r="AG26" s="439"/>
    </row>
    <row r="27" spans="1:33" s="437" customFormat="1" ht="18" customHeight="1">
      <c r="A27" s="2339"/>
      <c r="B27" s="2340"/>
      <c r="C27" s="2341"/>
      <c r="D27" s="467"/>
      <c r="E27" s="2352" t="s">
        <v>621</v>
      </c>
      <c r="F27" s="2352"/>
      <c r="G27" s="2352"/>
      <c r="H27" s="2352"/>
      <c r="I27" s="2352"/>
      <c r="J27" s="2352"/>
      <c r="K27" s="2352"/>
      <c r="L27" s="2352"/>
      <c r="M27" s="2352"/>
      <c r="N27" s="2352"/>
      <c r="O27" s="2352"/>
      <c r="P27" s="467"/>
      <c r="Q27" s="2343"/>
      <c r="R27" s="2345"/>
      <c r="S27" s="2345"/>
      <c r="T27" s="2345"/>
      <c r="U27" s="2345"/>
      <c r="V27" s="2343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9"/>
    </row>
    <row r="28" spans="1:33" s="437" customFormat="1" ht="18" customHeight="1">
      <c r="A28" s="2327" t="s">
        <v>233</v>
      </c>
      <c r="B28" s="2328"/>
      <c r="C28" s="2328"/>
      <c r="D28" s="2328"/>
      <c r="E28" s="2328"/>
      <c r="F28" s="2328"/>
      <c r="G28" s="2328"/>
      <c r="H28" s="2328"/>
      <c r="I28" s="2329" t="str">
        <f>IF(COUNT('먼지측정 사전 Data'!H72)=0,"",ROUND(E29*(0.00346*J29+M29/Q29*(T29+X29/13.6))*(1.667*10^4)/(H30*M30*R30*V30),1))</f>
        <v/>
      </c>
      <c r="J28" s="2329"/>
      <c r="K28" s="2329"/>
      <c r="L28" s="2329"/>
      <c r="M28" s="2328" t="s">
        <v>194</v>
      </c>
      <c r="N28" s="2328"/>
      <c r="AG28" s="439"/>
    </row>
    <row r="29" spans="1:33" s="437" customFormat="1" ht="18" customHeight="1">
      <c r="A29" s="2330" t="s">
        <v>230</v>
      </c>
      <c r="B29" s="2331"/>
      <c r="C29" s="2331" t="s">
        <v>201</v>
      </c>
      <c r="D29" s="462" t="s">
        <v>198</v>
      </c>
      <c r="E29" s="2325" t="str">
        <f>IF(COUNT('먼지측정 사전 Data'!H72)=0,"",ROUND(273+'먼지측정 사전 Data'!R69,2))</f>
        <v/>
      </c>
      <c r="F29" s="2325"/>
      <c r="G29" s="462" t="s">
        <v>234</v>
      </c>
      <c r="H29" s="2334" t="s">
        <v>235</v>
      </c>
      <c r="I29" s="2334"/>
      <c r="J29" s="2326" t="str">
        <f>IF(COUNT('먼지측정 사전 Data'!H72)=0,"",Z22)</f>
        <v/>
      </c>
      <c r="K29" s="2334"/>
      <c r="L29" s="462" t="s">
        <v>236</v>
      </c>
      <c r="M29" s="2324" t="str">
        <f>IF(COUNT('먼지측정 사전 Data'!H72)=0,"",'먼지측정 사전 Data'!R80)</f>
        <v/>
      </c>
      <c r="N29" s="2324"/>
      <c r="O29" s="470" t="s">
        <v>237</v>
      </c>
      <c r="P29" s="462" t="s">
        <v>238</v>
      </c>
      <c r="Q29" s="2325" t="str">
        <f>IF(COUNT('먼지측정 사전 Data'!H72)=0,"",ROUND(273+'먼지측정 사전 Data'!R74,2))</f>
        <v/>
      </c>
      <c r="R29" s="2325"/>
      <c r="S29" s="454" t="s">
        <v>239</v>
      </c>
      <c r="T29" s="2325" t="str">
        <f>IF(COUNT('먼지측정 사전 Data'!H72)=0,"",'먼지측정 사전 Data'!H20)</f>
        <v/>
      </c>
      <c r="U29" s="2325"/>
      <c r="V29" s="454" t="s">
        <v>199</v>
      </c>
      <c r="W29" s="471" t="s">
        <v>240</v>
      </c>
      <c r="X29" s="2326" t="str">
        <f>IF(COUNT('먼지측정 사전 Data'!H72)=0,"",'먼지측정 사전 Data'!R86)</f>
        <v/>
      </c>
      <c r="Y29" s="2326"/>
      <c r="Z29" s="454" t="s">
        <v>241</v>
      </c>
      <c r="AA29" s="454" t="s">
        <v>242</v>
      </c>
      <c r="AB29" s="454" t="s">
        <v>243</v>
      </c>
      <c r="AC29" s="2319" t="s">
        <v>197</v>
      </c>
      <c r="AD29" s="2319" t="s">
        <v>244</v>
      </c>
      <c r="AE29" s="2319" t="s">
        <v>197</v>
      </c>
      <c r="AF29" s="2319" t="s">
        <v>863</v>
      </c>
      <c r="AG29" s="439"/>
    </row>
    <row r="30" spans="1:33" s="437" customFormat="1" ht="36" customHeight="1" thickBot="1">
      <c r="A30" s="2332"/>
      <c r="B30" s="2333"/>
      <c r="C30" s="2333"/>
      <c r="D30" s="472"/>
      <c r="E30" s="472"/>
      <c r="F30" s="472"/>
      <c r="G30" s="472" t="s">
        <v>198</v>
      </c>
      <c r="H30" s="2321" t="str">
        <f>IF(COUNT('먼지측정 사전 Data'!H72)=0,"",ROUND('먼지측정 사전 Data'!U71+'먼지측정 사전 Data'!H20,2))</f>
        <v/>
      </c>
      <c r="I30" s="2321"/>
      <c r="J30" s="472" t="s">
        <v>199</v>
      </c>
      <c r="K30" s="472" t="s">
        <v>197</v>
      </c>
      <c r="L30" s="472" t="s">
        <v>198</v>
      </c>
      <c r="M30" s="2322" t="str">
        <f>IF(COUNT('먼지측정 사전 Data'!H72)=0,"",'먼지측정 사전 Data'!R75)</f>
        <v/>
      </c>
      <c r="N30" s="2322"/>
      <c r="O30" s="472" t="s">
        <v>199</v>
      </c>
      <c r="P30" s="472" t="s">
        <v>197</v>
      </c>
      <c r="Q30" s="472" t="s">
        <v>198</v>
      </c>
      <c r="R30" s="2323" t="str">
        <f>IF(COUNT('먼지측정 사전 Data'!H72)=0,"",'먼지측정 사전 Data'!R82)</f>
        <v/>
      </c>
      <c r="S30" s="2323"/>
      <c r="T30" s="472" t="s">
        <v>205</v>
      </c>
      <c r="U30" s="472" t="s">
        <v>198</v>
      </c>
      <c r="V30" s="2323" t="str">
        <f>IF(COUNT('먼지측정 사전 Data'!H72)=0,"",'먼지측정 사전 Data'!U84)</f>
        <v/>
      </c>
      <c r="W30" s="2323"/>
      <c r="X30" s="2323"/>
      <c r="Y30" s="472" t="s">
        <v>199</v>
      </c>
      <c r="Z30" s="472"/>
      <c r="AA30" s="472"/>
      <c r="AB30" s="472"/>
      <c r="AC30" s="2320"/>
      <c r="AD30" s="2320"/>
      <c r="AE30" s="2320"/>
      <c r="AF30" s="2320"/>
      <c r="AG30" s="473"/>
    </row>
    <row r="31" spans="1:33" s="437" customFormat="1" ht="23.25" customHeight="1">
      <c r="A31" s="474" t="s">
        <v>245</v>
      </c>
      <c r="B31" s="441"/>
      <c r="C31" s="441" t="s">
        <v>246</v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 t="s">
        <v>247</v>
      </c>
      <c r="T31" s="441"/>
      <c r="U31" s="441" t="s">
        <v>248</v>
      </c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55"/>
    </row>
    <row r="32" spans="1:33" s="437" customFormat="1" ht="18" customHeight="1">
      <c r="A32" s="474" t="s">
        <v>249</v>
      </c>
      <c r="B32" s="441"/>
      <c r="C32" s="441" t="s">
        <v>250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 t="s">
        <v>251</v>
      </c>
      <c r="T32" s="441"/>
      <c r="U32" s="441" t="s">
        <v>252</v>
      </c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5" t="s">
        <v>253</v>
      </c>
      <c r="B33" s="476"/>
      <c r="C33" s="476" t="s">
        <v>254</v>
      </c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7"/>
    </row>
    <row r="34" spans="1:33" s="437" customFormat="1" ht="18" customHeight="1">
      <c r="A34" s="474" t="s">
        <v>864</v>
      </c>
      <c r="B34" s="441"/>
      <c r="C34" s="441" t="s">
        <v>865</v>
      </c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41" t="s">
        <v>251</v>
      </c>
      <c r="T34" s="441"/>
      <c r="U34" s="441" t="s">
        <v>255</v>
      </c>
      <c r="V34" s="441"/>
      <c r="W34" s="441"/>
      <c r="X34" s="441"/>
      <c r="Y34" s="441"/>
      <c r="Z34" s="441" t="s">
        <v>256</v>
      </c>
      <c r="AA34" s="441" t="s">
        <v>257</v>
      </c>
      <c r="AB34" s="441"/>
      <c r="AC34" s="441"/>
      <c r="AD34" s="441"/>
      <c r="AE34" s="441"/>
      <c r="AF34" s="441"/>
      <c r="AG34" s="455"/>
    </row>
    <row r="35" spans="1:33" s="437" customFormat="1" ht="18" customHeight="1">
      <c r="A35" s="475" t="s">
        <v>279</v>
      </c>
      <c r="B35" s="476"/>
      <c r="C35" s="476" t="s">
        <v>259</v>
      </c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 t="s">
        <v>260</v>
      </c>
      <c r="T35" s="476"/>
      <c r="U35" s="476" t="s">
        <v>261</v>
      </c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7"/>
    </row>
    <row r="36" spans="1:33" s="437" customFormat="1" ht="18" customHeight="1">
      <c r="A36" s="478" t="s">
        <v>262</v>
      </c>
      <c r="B36" s="479"/>
      <c r="C36" s="479" t="s">
        <v>866</v>
      </c>
      <c r="D36" s="479"/>
      <c r="E36" s="479"/>
      <c r="F36" s="479"/>
      <c r="G36" s="479"/>
      <c r="H36" s="479"/>
      <c r="I36" s="479"/>
      <c r="J36" s="479"/>
      <c r="K36" s="479" t="s">
        <v>263</v>
      </c>
      <c r="L36" s="479" t="s">
        <v>867</v>
      </c>
      <c r="M36" s="479"/>
      <c r="N36" s="479"/>
      <c r="O36" s="479"/>
      <c r="P36" s="479"/>
      <c r="Q36" s="479"/>
      <c r="R36" s="479"/>
      <c r="S36" s="479"/>
      <c r="T36" s="479"/>
      <c r="U36" s="479"/>
      <c r="V36" s="479"/>
      <c r="W36" s="479" t="s">
        <v>264</v>
      </c>
      <c r="X36" s="479" t="s">
        <v>868</v>
      </c>
      <c r="Y36" s="479"/>
      <c r="Z36" s="479"/>
      <c r="AA36" s="479"/>
      <c r="AB36" s="479"/>
      <c r="AC36" s="479"/>
      <c r="AD36" s="479"/>
      <c r="AE36" s="479"/>
      <c r="AF36" s="479"/>
      <c r="AG36" s="480"/>
    </row>
    <row r="37" spans="1:33" s="437" customFormat="1" ht="18" customHeight="1">
      <c r="A37" s="478" t="s">
        <v>265</v>
      </c>
      <c r="B37" s="479"/>
      <c r="C37" s="479" t="s">
        <v>266</v>
      </c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 t="s">
        <v>267</v>
      </c>
      <c r="T37" s="479"/>
      <c r="U37" s="479" t="s">
        <v>268</v>
      </c>
      <c r="V37" s="479"/>
      <c r="W37" s="479"/>
      <c r="X37" s="479"/>
      <c r="Y37" s="479"/>
      <c r="Z37" s="479"/>
      <c r="AA37" s="479"/>
      <c r="AB37" s="479"/>
      <c r="AC37" s="479"/>
      <c r="AD37" s="479"/>
      <c r="AE37" s="479"/>
      <c r="AF37" s="479"/>
      <c r="AG37" s="480"/>
    </row>
    <row r="38" spans="1:33" s="437" customFormat="1" ht="18" customHeight="1">
      <c r="A38" s="474" t="s">
        <v>269</v>
      </c>
      <c r="B38" s="441"/>
      <c r="C38" s="441" t="s">
        <v>270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  <c r="R38" s="441"/>
      <c r="S38" s="441" t="s">
        <v>271</v>
      </c>
      <c r="T38" s="441"/>
      <c r="U38" s="441" t="s">
        <v>272</v>
      </c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4" t="s">
        <v>273</v>
      </c>
      <c r="B39" s="441"/>
      <c r="C39" s="441" t="s">
        <v>869</v>
      </c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 t="s">
        <v>274</v>
      </c>
      <c r="T39" s="441"/>
      <c r="U39" s="441" t="s">
        <v>275</v>
      </c>
      <c r="V39" s="441"/>
      <c r="W39" s="441"/>
      <c r="X39" s="441"/>
      <c r="Y39" s="441"/>
      <c r="Z39" s="441"/>
      <c r="AA39" s="441"/>
      <c r="AB39" s="441"/>
      <c r="AC39" s="441"/>
      <c r="AD39" s="441"/>
      <c r="AE39" s="441"/>
      <c r="AF39" s="441"/>
      <c r="AG39" s="455"/>
    </row>
    <row r="40" spans="1:33" s="437" customFormat="1" ht="18" customHeight="1">
      <c r="A40" s="474" t="s">
        <v>251</v>
      </c>
      <c r="B40" s="441"/>
      <c r="C40" s="441" t="s">
        <v>252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 t="s">
        <v>276</v>
      </c>
      <c r="O40" s="441" t="s">
        <v>870</v>
      </c>
      <c r="P40" s="441"/>
      <c r="Q40" s="441"/>
      <c r="R40" s="441"/>
      <c r="S40" s="441"/>
      <c r="T40" s="441"/>
      <c r="U40" s="441"/>
      <c r="V40" s="441"/>
      <c r="W40" s="441" t="s">
        <v>277</v>
      </c>
      <c r="X40" s="441" t="s">
        <v>278</v>
      </c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258</v>
      </c>
      <c r="B41" s="441"/>
      <c r="C41" s="441" t="s">
        <v>622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 t="s">
        <v>280</v>
      </c>
      <c r="O41" s="441" t="s">
        <v>871</v>
      </c>
      <c r="P41" s="441"/>
      <c r="Q41" s="441"/>
      <c r="R41" s="441"/>
      <c r="S41" s="441"/>
      <c r="T41" s="441"/>
      <c r="U41" s="441"/>
      <c r="V41" s="441"/>
      <c r="W41" s="441" t="s">
        <v>281</v>
      </c>
      <c r="X41" s="441" t="s">
        <v>282</v>
      </c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>
      <c r="A42" s="474"/>
      <c r="B42" s="441"/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  <c r="AB42" s="441"/>
      <c r="AC42" s="441"/>
      <c r="AD42" s="441"/>
      <c r="AE42" s="441"/>
      <c r="AF42" s="441"/>
      <c r="AG42" s="455"/>
    </row>
    <row r="43" spans="1:33" s="437" customFormat="1" ht="18" customHeight="1" thickBot="1">
      <c r="A43" s="481"/>
      <c r="B43" s="482"/>
      <c r="C43" s="482"/>
      <c r="D43" s="482"/>
      <c r="E43" s="482"/>
      <c r="F43" s="482"/>
      <c r="G43" s="482"/>
      <c r="H43" s="482"/>
      <c r="I43" s="482"/>
      <c r="J43" s="482"/>
      <c r="K43" s="482"/>
      <c r="L43" s="482"/>
      <c r="M43" s="482"/>
      <c r="N43" s="482"/>
      <c r="O43" s="482"/>
      <c r="P43" s="482"/>
      <c r="Q43" s="482"/>
      <c r="R43" s="482"/>
      <c r="S43" s="482"/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  <c r="AF43" s="482"/>
      <c r="AG43" s="483"/>
    </row>
  </sheetData>
  <mergeCells count="142">
    <mergeCell ref="A3:AG3"/>
    <mergeCell ref="B7:F7"/>
    <mergeCell ref="H7:K7"/>
    <mergeCell ref="A10:M10"/>
    <mergeCell ref="N10:AG10"/>
    <mergeCell ref="A11:D11"/>
    <mergeCell ref="Q11:U11"/>
    <mergeCell ref="B4:F4"/>
    <mergeCell ref="W4:AA4"/>
    <mergeCell ref="B5:F5"/>
    <mergeCell ref="W5:AA5"/>
    <mergeCell ref="B6:F6"/>
    <mergeCell ref="Z12:Z13"/>
    <mergeCell ref="AA12:AB13"/>
    <mergeCell ref="A13:A14"/>
    <mergeCell ref="B13:B14"/>
    <mergeCell ref="F13:G13"/>
    <mergeCell ref="N13:N14"/>
    <mergeCell ref="O13:O14"/>
    <mergeCell ref="C14:C15"/>
    <mergeCell ref="D14:D15"/>
    <mergeCell ref="E14:F14"/>
    <mergeCell ref="F12:G12"/>
    <mergeCell ref="H12:H13"/>
    <mergeCell ref="I12:J13"/>
    <mergeCell ref="V12:V13"/>
    <mergeCell ref="W12:W13"/>
    <mergeCell ref="X12:Y13"/>
    <mergeCell ref="AF14:AF15"/>
    <mergeCell ref="AG14:AG15"/>
    <mergeCell ref="E15:F15"/>
    <mergeCell ref="H15:I15"/>
    <mergeCell ref="K15:L15"/>
    <mergeCell ref="S15:T15"/>
    <mergeCell ref="Y15:AA15"/>
    <mergeCell ref="Q14:Q15"/>
    <mergeCell ref="R14:R15"/>
    <mergeCell ref="S14:U14"/>
    <mergeCell ref="W14:W15"/>
    <mergeCell ref="AC14:AC15"/>
    <mergeCell ref="AE14:AE15"/>
    <mergeCell ref="G14:G15"/>
    <mergeCell ref="H14:I14"/>
    <mergeCell ref="J14:J15"/>
    <mergeCell ref="K14:L14"/>
    <mergeCell ref="M14:M15"/>
    <mergeCell ref="P14:P15"/>
    <mergeCell ref="A16:E16"/>
    <mergeCell ref="F16:H16"/>
    <mergeCell ref="N16:Q16"/>
    <mergeCell ref="S16:U16"/>
    <mergeCell ref="V16:W16"/>
    <mergeCell ref="A17:A18"/>
    <mergeCell ref="B17:B18"/>
    <mergeCell ref="C17:C18"/>
    <mergeCell ref="D17:D18"/>
    <mergeCell ref="E17:F17"/>
    <mergeCell ref="R17:R18"/>
    <mergeCell ref="S17:V17"/>
    <mergeCell ref="W17:W18"/>
    <mergeCell ref="AA17:AB17"/>
    <mergeCell ref="E18:F18"/>
    <mergeCell ref="H18:I18"/>
    <mergeCell ref="S18:T18"/>
    <mergeCell ref="X18:AC18"/>
    <mergeCell ref="G17:G18"/>
    <mergeCell ref="H17:I17"/>
    <mergeCell ref="N17:N18"/>
    <mergeCell ref="O17:O18"/>
    <mergeCell ref="P17:P18"/>
    <mergeCell ref="Q17:Q18"/>
    <mergeCell ref="Q20:R21"/>
    <mergeCell ref="S20:S21"/>
    <mergeCell ref="V20:W20"/>
    <mergeCell ref="Z20:AA20"/>
    <mergeCell ref="E21:F21"/>
    <mergeCell ref="V21:Y21"/>
    <mergeCell ref="A19:F19"/>
    <mergeCell ref="N19:Q19"/>
    <mergeCell ref="S19:U19"/>
    <mergeCell ref="V19:W19"/>
    <mergeCell ref="A20:A21"/>
    <mergeCell ref="B20:B21"/>
    <mergeCell ref="E20:F20"/>
    <mergeCell ref="N20:N21"/>
    <mergeCell ref="O20:O21"/>
    <mergeCell ref="P20:P21"/>
    <mergeCell ref="A22:L22"/>
    <mergeCell ref="N22:X22"/>
    <mergeCell ref="Z22:AB22"/>
    <mergeCell ref="A23:B24"/>
    <mergeCell ref="C23:C24"/>
    <mergeCell ref="D23:D24"/>
    <mergeCell ref="E23:E24"/>
    <mergeCell ref="F23:H23"/>
    <mergeCell ref="I23:I24"/>
    <mergeCell ref="J23:K23"/>
    <mergeCell ref="A25:J25"/>
    <mergeCell ref="A26:B27"/>
    <mergeCell ref="C26:C27"/>
    <mergeCell ref="D26:P26"/>
    <mergeCell ref="Q26:Q27"/>
    <mergeCell ref="R26:U27"/>
    <mergeCell ref="V23:X23"/>
    <mergeCell ref="Z23:Z24"/>
    <mergeCell ref="AA23:AB23"/>
    <mergeCell ref="F24:H24"/>
    <mergeCell ref="J24:K24"/>
    <mergeCell ref="W24:X24"/>
    <mergeCell ref="AA24:AB24"/>
    <mergeCell ref="N23:N24"/>
    <mergeCell ref="O23:O24"/>
    <mergeCell ref="P23:P24"/>
    <mergeCell ref="Q23:R24"/>
    <mergeCell ref="S23:S24"/>
    <mergeCell ref="T23:T24"/>
    <mergeCell ref="V26:V27"/>
    <mergeCell ref="E27:O27"/>
    <mergeCell ref="AD1:AF1"/>
    <mergeCell ref="AD2:AF2"/>
    <mergeCell ref="Z1:AC1"/>
    <mergeCell ref="Z2:AC2"/>
    <mergeCell ref="AF29:AF30"/>
    <mergeCell ref="H30:I30"/>
    <mergeCell ref="M30:N30"/>
    <mergeCell ref="R30:S30"/>
    <mergeCell ref="V30:X30"/>
    <mergeCell ref="M29:N29"/>
    <mergeCell ref="Q29:R29"/>
    <mergeCell ref="T29:U29"/>
    <mergeCell ref="X29:Y29"/>
    <mergeCell ref="AC29:AC30"/>
    <mergeCell ref="AD29:AD30"/>
    <mergeCell ref="A28:H28"/>
    <mergeCell ref="I28:L28"/>
    <mergeCell ref="M28:N28"/>
    <mergeCell ref="A29:B30"/>
    <mergeCell ref="C29:C30"/>
    <mergeCell ref="E29:F29"/>
    <mergeCell ref="H29:I29"/>
    <mergeCell ref="J29:K29"/>
    <mergeCell ref="AE29:AE30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G42"/>
  <sheetViews>
    <sheetView view="pageBreakPreview" topLeftCell="A4" zoomScaleNormal="100" zoomScaleSheetLayoutView="100" workbookViewId="0">
      <selection activeCell="M4" sqref="M1:M1048576"/>
    </sheetView>
  </sheetViews>
  <sheetFormatPr defaultColWidth="3.125" defaultRowHeight="18" customHeight="1"/>
  <cols>
    <col min="1" max="1" width="3.375" style="431" customWidth="1"/>
    <col min="2" max="2" width="1.875" style="431" customWidth="1"/>
    <col min="3" max="3" width="3.125" style="431" customWidth="1"/>
    <col min="4" max="4" width="2.125" style="431" customWidth="1"/>
    <col min="5" max="5" width="5.5" style="431" customWidth="1"/>
    <col min="6" max="6" width="3.75" style="431" customWidth="1"/>
    <col min="7" max="7" width="2.25" style="431" customWidth="1"/>
    <col min="8" max="9" width="3.75" style="431" customWidth="1"/>
    <col min="10" max="10" width="2" style="431" customWidth="1"/>
    <col min="11" max="13" width="3.125" style="431" customWidth="1"/>
    <col min="14" max="14" width="3.75" style="431" customWidth="1"/>
    <col min="15" max="15" width="2.125" style="431" customWidth="1"/>
    <col min="16" max="16" width="2.25" style="431" customWidth="1"/>
    <col min="17" max="17" width="3.5" style="431" customWidth="1"/>
    <col min="18" max="20" width="3.125" style="431" customWidth="1"/>
    <col min="21" max="21" width="4.25" style="431" customWidth="1"/>
    <col min="22" max="22" width="2" style="431" customWidth="1"/>
    <col min="23" max="23" width="3.25" style="431" customWidth="1"/>
    <col min="24" max="24" width="1.75" style="431" customWidth="1"/>
    <col min="25" max="25" width="4.875" style="431" customWidth="1"/>
    <col min="26" max="26" width="3.75" style="431" customWidth="1"/>
    <col min="27" max="27" width="3.375" style="431" customWidth="1"/>
    <col min="28" max="28" width="2.375" style="431" customWidth="1"/>
    <col min="29" max="29" width="2" style="431" customWidth="1"/>
    <col min="30" max="30" width="4.625" style="431" customWidth="1"/>
    <col min="31" max="31" width="2.25" style="431" customWidth="1"/>
    <col min="32" max="32" width="4.25" style="431" customWidth="1"/>
    <col min="33" max="33" width="2.25" style="431" customWidth="1"/>
    <col min="34" max="35" width="3.125" style="431"/>
    <col min="36" max="36" width="5" style="431" bestFit="1" customWidth="1"/>
    <col min="37" max="16384" width="3.125" style="431"/>
  </cols>
  <sheetData>
    <row r="1" spans="1:33" ht="21" customHeight="1">
      <c r="A1" s="510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2401" t="s">
        <v>851</v>
      </c>
      <c r="AA1" s="2401"/>
      <c r="AB1" s="2401"/>
      <c r="AC1" s="2401"/>
      <c r="AD1" s="2401" t="s">
        <v>852</v>
      </c>
      <c r="AE1" s="2401"/>
      <c r="AF1" s="2401"/>
      <c r="AG1" s="512"/>
    </row>
    <row r="2" spans="1:33" ht="24" customHeight="1">
      <c r="A2" s="513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514"/>
    </row>
    <row r="3" spans="1:33" ht="33" customHeight="1">
      <c r="A3" s="2399" t="s">
        <v>521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400"/>
    </row>
    <row r="4" spans="1:33" ht="18.75" customHeight="1">
      <c r="A4" s="513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514"/>
    </row>
    <row r="5" spans="1:33" ht="18.75" customHeight="1">
      <c r="A5" s="513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514"/>
    </row>
    <row r="6" spans="1:33" ht="18.75" customHeight="1">
      <c r="A6" s="513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'(구)계산일지1 사용X'!W6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514"/>
    </row>
    <row r="7" spans="1:33" ht="18.75" customHeight="1">
      <c r="A7" s="513"/>
      <c r="B7" s="2195" t="s">
        <v>520</v>
      </c>
      <c r="C7" s="2195"/>
      <c r="D7" s="2195"/>
      <c r="E7" s="2195"/>
      <c r="F7" s="2195"/>
      <c r="G7" s="52" t="s">
        <v>15</v>
      </c>
      <c r="H7" s="2228">
        <f>'(구)계산일지1 사용X'!H7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514"/>
    </row>
    <row r="8" spans="1:33" ht="12.75" customHeight="1">
      <c r="A8" s="504"/>
      <c r="AG8" s="515"/>
    </row>
    <row r="9" spans="1:33" ht="18" customHeight="1" thickBot="1">
      <c r="A9" s="516"/>
      <c r="B9" s="436"/>
      <c r="C9" s="436"/>
      <c r="AG9" s="515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402" t="s">
        <v>283</v>
      </c>
      <c r="B11" s="2403"/>
      <c r="C11" s="2403"/>
      <c r="D11" s="2403"/>
      <c r="E11" s="2403"/>
      <c r="F11" s="2403"/>
      <c r="G11" s="2403" t="s">
        <v>873</v>
      </c>
      <c r="H11" s="2403"/>
      <c r="I11" s="2403"/>
      <c r="N11" s="507"/>
      <c r="O11" s="507"/>
      <c r="P11" s="507"/>
      <c r="Q11" s="484"/>
      <c r="R11" s="484"/>
      <c r="S11" s="484"/>
      <c r="T11" s="484"/>
      <c r="U11" s="484"/>
      <c r="V11" s="507"/>
      <c r="W11" s="507"/>
      <c r="X11" s="507"/>
      <c r="Y11" s="507"/>
      <c r="Z11" s="507"/>
      <c r="AA11" s="507"/>
      <c r="AB11" s="507"/>
      <c r="AC11" s="507"/>
      <c r="AD11" s="507"/>
      <c r="AE11" s="507"/>
      <c r="AF11" s="507"/>
      <c r="AG11" s="485"/>
    </row>
    <row r="12" spans="1:33" s="437" customFormat="1" ht="18" customHeight="1">
      <c r="A12" s="2330" t="s">
        <v>284</v>
      </c>
      <c r="B12" s="2331" t="s">
        <v>201</v>
      </c>
      <c r="C12" s="2331" t="s">
        <v>215</v>
      </c>
      <c r="D12" s="2331" t="s">
        <v>197</v>
      </c>
      <c r="E12" s="2331" t="s">
        <v>285</v>
      </c>
      <c r="F12" s="2346">
        <v>273</v>
      </c>
      <c r="G12" s="2346"/>
      <c r="H12" s="2346"/>
      <c r="I12" s="2331" t="s">
        <v>197</v>
      </c>
      <c r="J12" s="2346" t="s">
        <v>286</v>
      </c>
      <c r="K12" s="2346"/>
      <c r="L12" s="459" t="s">
        <v>623</v>
      </c>
      <c r="M12" s="2331" t="s">
        <v>232</v>
      </c>
      <c r="N12" s="2331">
        <v>1</v>
      </c>
      <c r="O12" s="2331" t="s">
        <v>287</v>
      </c>
      <c r="P12" s="2346" t="s">
        <v>200</v>
      </c>
      <c r="Q12" s="2346"/>
      <c r="R12" s="2331" t="s">
        <v>205</v>
      </c>
      <c r="S12" s="2331">
        <v>3600</v>
      </c>
      <c r="T12" s="2331"/>
      <c r="U12" s="443"/>
      <c r="AG12" s="439"/>
    </row>
    <row r="13" spans="1:33" s="437" customFormat="1" ht="18" customHeight="1">
      <c r="A13" s="2395"/>
      <c r="B13" s="2341"/>
      <c r="C13" s="2341"/>
      <c r="D13" s="2341"/>
      <c r="E13" s="2341"/>
      <c r="F13" s="467">
        <v>273</v>
      </c>
      <c r="G13" s="468" t="s">
        <v>204</v>
      </c>
      <c r="H13" s="468" t="s">
        <v>288</v>
      </c>
      <c r="I13" s="2341"/>
      <c r="J13" s="2394">
        <v>760</v>
      </c>
      <c r="K13" s="2394"/>
      <c r="L13" s="2394"/>
      <c r="M13" s="2341"/>
      <c r="N13" s="2341"/>
      <c r="O13" s="2341"/>
      <c r="P13" s="2394">
        <v>100</v>
      </c>
      <c r="Q13" s="2394"/>
      <c r="R13" s="2341"/>
      <c r="S13" s="2341"/>
      <c r="T13" s="2341"/>
      <c r="U13" s="467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9"/>
    </row>
    <row r="14" spans="1:33" s="437" customFormat="1" ht="18" customHeight="1">
      <c r="A14" s="2327" t="s">
        <v>289</v>
      </c>
      <c r="B14" s="2328"/>
      <c r="C14" s="2328"/>
      <c r="D14" s="2328"/>
      <c r="E14" s="2328"/>
      <c r="F14" s="2328"/>
      <c r="G14" s="2329" t="e">
        <f>ROUND(D15*H15*273/(273+N16)*(S15+V15)/760*(1-AC15/100)*3600,1)</f>
        <v>#DIV/0!</v>
      </c>
      <c r="H14" s="2329"/>
      <c r="I14" s="2329"/>
      <c r="J14" s="2329"/>
      <c r="K14" s="2328" t="s">
        <v>874</v>
      </c>
      <c r="L14" s="2328"/>
      <c r="Y14" s="509"/>
      <c r="AA14" s="486"/>
      <c r="AG14" s="439"/>
    </row>
    <row r="15" spans="1:33" s="437" customFormat="1" ht="24" customHeight="1">
      <c r="A15" s="2330" t="s">
        <v>284</v>
      </c>
      <c r="B15" s="2331" t="s">
        <v>201</v>
      </c>
      <c r="C15" s="2319" t="s">
        <v>198</v>
      </c>
      <c r="D15" s="2393" t="e">
        <f>'(구)계산일지1 사용X'!S19</f>
        <v>#DIV/0!</v>
      </c>
      <c r="E15" s="2393"/>
      <c r="F15" s="2319" t="s">
        <v>205</v>
      </c>
      <c r="G15" s="2319" t="s">
        <v>198</v>
      </c>
      <c r="H15" s="2393">
        <f>'먼지측정 사전 Data'!K31</f>
        <v>0</v>
      </c>
      <c r="I15" s="2393"/>
      <c r="J15" s="2319" t="s">
        <v>199</v>
      </c>
      <c r="K15" s="2319" t="s">
        <v>197</v>
      </c>
      <c r="L15" s="2334">
        <v>273</v>
      </c>
      <c r="M15" s="2334"/>
      <c r="N15" s="2334"/>
      <c r="O15" s="2334"/>
      <c r="P15" s="2334"/>
      <c r="Q15" s="2319" t="s">
        <v>197</v>
      </c>
      <c r="R15" s="462" t="s">
        <v>198</v>
      </c>
      <c r="S15" s="2325">
        <f>'먼지측정 사전 Data'!H20</f>
        <v>0</v>
      </c>
      <c r="T15" s="2325"/>
      <c r="U15" s="460" t="s">
        <v>236</v>
      </c>
      <c r="V15" s="2326" t="e">
        <f>'먼지측정 사전 Data'!U71</f>
        <v>#DIV/0!</v>
      </c>
      <c r="W15" s="2326"/>
      <c r="X15" s="2326"/>
      <c r="Y15" s="462" t="s">
        <v>199</v>
      </c>
      <c r="Z15" s="2319" t="s">
        <v>232</v>
      </c>
      <c r="AA15" s="2319" t="s">
        <v>290</v>
      </c>
      <c r="AB15" s="462" t="s">
        <v>198</v>
      </c>
      <c r="AC15" s="2326" t="e">
        <f>IF('먼지측정 사전 Data'!Q60=0,'(구)계산일지1 사용X'!Q11,'(구)계산일지1(포화) 사용X'!Q11)</f>
        <v>#DIV/0!</v>
      </c>
      <c r="AD15" s="2326"/>
      <c r="AE15" s="462" t="s">
        <v>199</v>
      </c>
      <c r="AF15" s="2319" t="s">
        <v>199</v>
      </c>
      <c r="AG15" s="439"/>
    </row>
    <row r="16" spans="1:33" s="437" customFormat="1" ht="18" customHeight="1">
      <c r="A16" s="2330"/>
      <c r="B16" s="2331"/>
      <c r="C16" s="2319"/>
      <c r="D16" s="2393"/>
      <c r="E16" s="2393"/>
      <c r="F16" s="2319"/>
      <c r="G16" s="2319"/>
      <c r="H16" s="2393"/>
      <c r="I16" s="2393"/>
      <c r="J16" s="2319"/>
      <c r="K16" s="2319"/>
      <c r="L16" s="2319" t="s">
        <v>208</v>
      </c>
      <c r="M16" s="2319"/>
      <c r="N16" s="2392" t="e">
        <f>'먼지측정 사전 Data'!R69</f>
        <v>#DIV/0!</v>
      </c>
      <c r="O16" s="2392"/>
      <c r="P16" s="487" t="s">
        <v>199</v>
      </c>
      <c r="Q16" s="2319"/>
      <c r="R16" s="2366">
        <v>760</v>
      </c>
      <c r="S16" s="2366"/>
      <c r="T16" s="2366"/>
      <c r="U16" s="2366"/>
      <c r="V16" s="2366"/>
      <c r="W16" s="2366"/>
      <c r="X16" s="2366"/>
      <c r="Y16" s="2366"/>
      <c r="Z16" s="2319"/>
      <c r="AA16" s="2319"/>
      <c r="AB16" s="2366">
        <v>100</v>
      </c>
      <c r="AC16" s="2366"/>
      <c r="AD16" s="2366"/>
      <c r="AE16" s="2366"/>
      <c r="AF16" s="2319"/>
      <c r="AG16" s="439"/>
    </row>
    <row r="17" spans="1:33" s="437" customFormat="1" ht="18" customHeight="1">
      <c r="A17" s="488"/>
      <c r="B17" s="463"/>
      <c r="C17" s="462" t="s">
        <v>197</v>
      </c>
      <c r="D17" s="2334">
        <v>3600</v>
      </c>
      <c r="E17" s="2334"/>
      <c r="F17" s="2334"/>
      <c r="G17" s="454"/>
      <c r="H17" s="454"/>
      <c r="I17" s="454"/>
      <c r="J17" s="462"/>
      <c r="K17" s="462"/>
      <c r="L17" s="462"/>
      <c r="M17" s="462"/>
      <c r="N17" s="454"/>
      <c r="O17" s="454"/>
      <c r="P17" s="454"/>
      <c r="Q17" s="454"/>
      <c r="R17" s="454"/>
      <c r="S17" s="454"/>
      <c r="T17" s="454"/>
      <c r="U17" s="454"/>
      <c r="V17" s="454"/>
      <c r="W17" s="454"/>
      <c r="X17" s="462"/>
      <c r="Y17" s="460"/>
      <c r="Z17" s="462"/>
      <c r="AA17" s="470"/>
      <c r="AB17" s="470"/>
      <c r="AC17" s="462"/>
      <c r="AD17" s="454"/>
      <c r="AE17" s="462"/>
      <c r="AF17" s="462"/>
      <c r="AG17" s="464"/>
    </row>
    <row r="18" spans="1:33" s="437" customFormat="1" ht="24" customHeight="1">
      <c r="A18" s="2335" t="s">
        <v>875</v>
      </c>
      <c r="B18" s="2336"/>
      <c r="C18" s="2336"/>
      <c r="D18" s="2336"/>
      <c r="E18" s="2336"/>
      <c r="F18" s="2336"/>
      <c r="G18" s="2336"/>
      <c r="H18" s="2336"/>
      <c r="I18" s="489"/>
      <c r="J18" s="456"/>
      <c r="K18" s="456"/>
      <c r="L18" s="456"/>
      <c r="M18" s="456"/>
      <c r="N18" s="489"/>
      <c r="O18" s="489"/>
      <c r="P18" s="489"/>
      <c r="Q18" s="489"/>
      <c r="R18" s="489"/>
      <c r="S18" s="490"/>
      <c r="T18" s="490"/>
      <c r="U18" s="508"/>
      <c r="V18" s="502"/>
      <c r="W18" s="489"/>
      <c r="X18" s="489"/>
      <c r="Y18" s="489"/>
      <c r="Z18" s="489"/>
      <c r="AA18" s="489"/>
      <c r="AB18" s="489"/>
      <c r="AC18" s="489"/>
      <c r="AD18" s="489"/>
      <c r="AE18" s="456"/>
      <c r="AF18" s="456"/>
      <c r="AG18" s="458"/>
    </row>
    <row r="19" spans="1:33" s="437" customFormat="1" ht="18" customHeight="1">
      <c r="A19" s="2330" t="s">
        <v>291</v>
      </c>
      <c r="B19" s="2331" t="s">
        <v>201</v>
      </c>
      <c r="C19" s="2346" t="s">
        <v>292</v>
      </c>
      <c r="D19" s="2346"/>
      <c r="E19" s="2346"/>
      <c r="F19" s="2346"/>
      <c r="G19" s="2346"/>
      <c r="H19" s="2346"/>
      <c r="I19" s="2346"/>
      <c r="J19" s="2346"/>
      <c r="K19" s="2346"/>
      <c r="L19" s="2346"/>
      <c r="N19" s="2406" t="s">
        <v>898</v>
      </c>
      <c r="O19" s="2406"/>
      <c r="P19" s="2406"/>
      <c r="Q19" s="2406"/>
      <c r="R19" s="2406"/>
      <c r="S19" s="2406"/>
      <c r="T19" s="2406"/>
      <c r="U19" s="2406"/>
      <c r="V19" s="2406"/>
      <c r="W19" s="2406"/>
      <c r="X19" s="2406"/>
      <c r="AG19" s="439"/>
    </row>
    <row r="20" spans="1:33" s="437" customFormat="1" ht="18" customHeight="1">
      <c r="A20" s="2330"/>
      <c r="B20" s="2331"/>
      <c r="C20" s="2319" t="s">
        <v>293</v>
      </c>
      <c r="D20" s="2319" t="s">
        <v>197</v>
      </c>
      <c r="E20" s="2362">
        <v>273</v>
      </c>
      <c r="F20" s="2362"/>
      <c r="G20" s="2319" t="s">
        <v>197</v>
      </c>
      <c r="H20" s="503" t="s">
        <v>286</v>
      </c>
      <c r="I20" s="503" t="s">
        <v>294</v>
      </c>
      <c r="J20" s="491" t="s">
        <v>295</v>
      </c>
      <c r="K20" s="2362">
        <v>13.6</v>
      </c>
      <c r="L20" s="2362"/>
      <c r="N20" s="441"/>
      <c r="O20" s="441"/>
      <c r="P20" s="441"/>
      <c r="Q20" s="441"/>
      <c r="R20" s="1413"/>
      <c r="S20" s="1413"/>
      <c r="T20" s="49"/>
      <c r="U20" s="2398"/>
      <c r="V20" s="1413"/>
      <c r="W20" s="1413"/>
      <c r="X20" s="1413"/>
      <c r="Y20" s="49"/>
      <c r="Z20" s="517"/>
      <c r="AA20" s="49"/>
      <c r="AB20" s="2398"/>
      <c r="AC20" s="2398"/>
      <c r="AD20" s="518"/>
      <c r="AG20" s="439"/>
    </row>
    <row r="21" spans="1:33" s="437" customFormat="1" ht="24" customHeight="1">
      <c r="A21" s="475"/>
      <c r="B21" s="476"/>
      <c r="C21" s="2343"/>
      <c r="D21" s="2343"/>
      <c r="E21" s="2343" t="s">
        <v>296</v>
      </c>
      <c r="F21" s="2343"/>
      <c r="G21" s="2343"/>
      <c r="H21" s="2343">
        <v>760</v>
      </c>
      <c r="I21" s="2343"/>
      <c r="J21" s="2343"/>
      <c r="K21" s="2343"/>
      <c r="L21" s="2343"/>
      <c r="M21" s="468"/>
      <c r="N21" s="476"/>
      <c r="O21" s="476"/>
      <c r="P21" s="476"/>
      <c r="Q21" s="476"/>
      <c r="R21" s="1413"/>
      <c r="S21" s="1413"/>
      <c r="T21" s="468"/>
      <c r="U21" s="2398"/>
      <c r="V21" s="1413"/>
      <c r="W21" s="1413"/>
      <c r="X21" s="1413"/>
      <c r="Y21" s="476"/>
      <c r="Z21" s="476"/>
      <c r="AA21" s="468"/>
      <c r="AB21" s="468"/>
      <c r="AC21" s="468"/>
      <c r="AD21" s="468"/>
      <c r="AE21" s="468"/>
      <c r="AF21" s="468"/>
      <c r="AG21" s="469"/>
    </row>
    <row r="22" spans="1:33" s="437" customFormat="1" ht="18" customHeight="1">
      <c r="A22" s="2327" t="s">
        <v>297</v>
      </c>
      <c r="B22" s="2328"/>
      <c r="C22" s="2328"/>
      <c r="D22" s="2328"/>
      <c r="E22" s="2328"/>
      <c r="F22" s="2328"/>
      <c r="G22" s="2328"/>
      <c r="H22" s="2328"/>
      <c r="I22" s="2410" t="str">
        <f>IF(COUNT('먼지측정 사전 Data'!H72)=0,"",IF('먼지측정 사전 Data'!C95=0,"",ROUND(I23/(D24*273/(273+I25)*(O24+S24/13.6)/760),1)))</f>
        <v/>
      </c>
      <c r="J22" s="2410"/>
      <c r="K22" s="2410"/>
      <c r="L22" s="2410"/>
      <c r="M22" s="2410"/>
      <c r="N22" s="2410"/>
      <c r="O22" s="2328" t="s">
        <v>876</v>
      </c>
      <c r="P22" s="2328"/>
      <c r="Q22" s="2328"/>
      <c r="R22" s="2328"/>
      <c r="S22" s="492"/>
      <c r="T22" s="492"/>
      <c r="U22" s="492"/>
      <c r="V22" s="492"/>
      <c r="W22" s="492"/>
      <c r="X22" s="492"/>
      <c r="Y22" s="505"/>
      <c r="Z22" s="493"/>
      <c r="AA22" s="493"/>
      <c r="AB22" s="493"/>
      <c r="AG22" s="439"/>
    </row>
    <row r="23" spans="1:33" s="437" customFormat="1" ht="18" customHeight="1">
      <c r="A23" s="2330" t="s">
        <v>291</v>
      </c>
      <c r="B23" s="2331" t="s">
        <v>201</v>
      </c>
      <c r="C23" s="463"/>
      <c r="D23" s="463"/>
      <c r="E23" s="463"/>
      <c r="F23" s="463"/>
      <c r="G23" s="463"/>
      <c r="H23" s="463" t="s">
        <v>198</v>
      </c>
      <c r="I23" s="2358" t="str">
        <f>IF(COUNT('먼지측정 사전 Data'!H72)=0,"",IF('먼지측정 사전 Data'!C95=0,"",'먼지측정 사전 Data'!H99*1000))</f>
        <v/>
      </c>
      <c r="J23" s="2358"/>
      <c r="K23" s="2358"/>
      <c r="L23" s="2358"/>
      <c r="M23" s="2358"/>
      <c r="N23" s="2358"/>
      <c r="O23" s="2358"/>
      <c r="P23" s="2358"/>
      <c r="Q23" s="2358"/>
      <c r="R23" s="2358"/>
      <c r="S23" s="2358"/>
      <c r="T23" s="463" t="s">
        <v>199</v>
      </c>
      <c r="U23" s="463"/>
      <c r="V23" s="463"/>
      <c r="W23" s="463"/>
      <c r="X23" s="463"/>
      <c r="Y23" s="459"/>
      <c r="Z23" s="441"/>
      <c r="AA23" s="1413" t="s">
        <v>891</v>
      </c>
      <c r="AB23" s="1413"/>
      <c r="AC23" s="49" t="s">
        <v>1</v>
      </c>
      <c r="AD23" s="2398" t="e">
        <f>'먼지측정 사전 Data'!H99</f>
        <v>#VALUE!</v>
      </c>
      <c r="AE23" s="1413"/>
      <c r="AF23" s="1413"/>
      <c r="AG23" s="2404"/>
    </row>
    <row r="24" spans="1:33" s="437" customFormat="1" ht="24" customHeight="1">
      <c r="A24" s="2330"/>
      <c r="B24" s="2331"/>
      <c r="C24" s="2366" t="s">
        <v>198</v>
      </c>
      <c r="D24" s="2411" t="str">
        <f>IF(COUNT('먼지측정 사전 Data'!H72)=0,"",IF('먼지측정 사전 Data'!C95=0,"",'먼지측정 사전 Data'!R80))</f>
        <v/>
      </c>
      <c r="E24" s="2411"/>
      <c r="F24" s="2366" t="s">
        <v>205</v>
      </c>
      <c r="G24" s="2362">
        <v>273</v>
      </c>
      <c r="H24" s="2362"/>
      <c r="I24" s="2362"/>
      <c r="J24" s="2362"/>
      <c r="K24" s="2362"/>
      <c r="L24" s="2362"/>
      <c r="M24" s="2366" t="s">
        <v>197</v>
      </c>
      <c r="N24" s="462" t="s">
        <v>198</v>
      </c>
      <c r="O24" s="2388" t="str">
        <f>IF(COUNT('먼지측정 사전 Data'!H72)=0,"",IF('먼지측정 사전 Data'!C95=0,"",'먼지측정 사전 Data'!M9))</f>
        <v/>
      </c>
      <c r="P24" s="2388"/>
      <c r="Q24" s="2388"/>
      <c r="R24" s="462" t="s">
        <v>236</v>
      </c>
      <c r="S24" s="2347" t="str">
        <f>IF(COUNT('먼지측정 사전 Data'!H72)=0,"",IF('먼지측정 사전 Data'!C95=0,"",'먼지측정 사전 Data'!R86))</f>
        <v/>
      </c>
      <c r="T24" s="2347"/>
      <c r="U24" s="2347"/>
      <c r="V24" s="494" t="s">
        <v>199</v>
      </c>
      <c r="W24" s="2389" t="s">
        <v>298</v>
      </c>
      <c r="X24" s="2389"/>
      <c r="Y24" s="2389"/>
      <c r="Z24" s="441"/>
      <c r="AA24" s="1413" t="s">
        <v>896</v>
      </c>
      <c r="AB24" s="1413"/>
      <c r="AC24" s="49" t="s">
        <v>1</v>
      </c>
      <c r="AD24" s="2398" t="e">
        <f>'먼지측정 사전 Data'!H95</f>
        <v>#VALUE!</v>
      </c>
      <c r="AE24" s="1413"/>
      <c r="AF24" s="1413"/>
      <c r="AG24" s="2404"/>
    </row>
    <row r="25" spans="1:33" s="437" customFormat="1" ht="24" customHeight="1">
      <c r="A25" s="488"/>
      <c r="B25" s="463"/>
      <c r="C25" s="2334"/>
      <c r="D25" s="2324"/>
      <c r="E25" s="2324"/>
      <c r="F25" s="2334"/>
      <c r="G25" s="2362" t="s">
        <v>208</v>
      </c>
      <c r="H25" s="2362"/>
      <c r="I25" s="2388" t="str">
        <f>IF(COUNT('먼지측정 사전 Data'!H72)=0,"",IF('먼지측정 사전 Data'!C95=0,"",'먼지측정 사전 Data'!R74))</f>
        <v/>
      </c>
      <c r="J25" s="2388"/>
      <c r="K25" s="2388"/>
      <c r="L25" s="462" t="s">
        <v>199</v>
      </c>
      <c r="M25" s="2334"/>
      <c r="N25" s="2362">
        <v>760</v>
      </c>
      <c r="O25" s="2362"/>
      <c r="P25" s="2362"/>
      <c r="Q25" s="2362"/>
      <c r="R25" s="2362"/>
      <c r="S25" s="2362"/>
      <c r="T25" s="2362"/>
      <c r="U25" s="2362"/>
      <c r="V25" s="2362"/>
      <c r="W25" s="2362"/>
      <c r="X25" s="2362"/>
      <c r="Y25" s="2362"/>
      <c r="Z25" s="459"/>
      <c r="AA25" s="1335" t="s">
        <v>897</v>
      </c>
      <c r="AB25" s="1335"/>
      <c r="AC25" s="459" t="s">
        <v>1</v>
      </c>
      <c r="AD25" s="2405" t="e">
        <f>'먼지측정 사전 Data'!H97</f>
        <v>#VALUE!</v>
      </c>
      <c r="AE25" s="1335"/>
      <c r="AF25" s="1335"/>
      <c r="AG25" s="1433"/>
    </row>
    <row r="26" spans="1:33" s="437" customFormat="1" ht="18" customHeight="1">
      <c r="A26" s="2335" t="s">
        <v>299</v>
      </c>
      <c r="B26" s="2336"/>
      <c r="C26" s="2336"/>
      <c r="D26" s="2336"/>
      <c r="E26" s="2336"/>
      <c r="F26" s="441"/>
      <c r="G26" s="441"/>
      <c r="H26" s="441"/>
      <c r="I26" s="2382" t="s">
        <v>300</v>
      </c>
      <c r="J26" s="2336"/>
      <c r="K26" s="2336"/>
      <c r="L26" s="2336"/>
      <c r="M26" s="2385" t="str">
        <f>IF(COUNT('먼지측정 사전 Data'!H72)=0,"",IF('대기측정 분석결과서'!J23=1,"",IF('먼지측정 사전 Data'!R13=20.9,'(구)계산일지2 사용X'!L27,L27*((21-T27)/(21-T28)))))</f>
        <v/>
      </c>
      <c r="N26" s="2385"/>
      <c r="O26" s="2385"/>
      <c r="P26" s="2385"/>
      <c r="Q26" s="2385"/>
      <c r="R26" s="2385"/>
      <c r="S26" s="2336" t="s">
        <v>876</v>
      </c>
      <c r="T26" s="2336"/>
      <c r="U26" s="2336"/>
      <c r="V26" s="2336"/>
      <c r="AG26" s="439"/>
    </row>
    <row r="27" spans="1:33" s="437" customFormat="1" ht="18" customHeight="1">
      <c r="A27" s="2330" t="s">
        <v>216</v>
      </c>
      <c r="B27" s="2331" t="s">
        <v>201</v>
      </c>
      <c r="C27" s="2331" t="s">
        <v>291</v>
      </c>
      <c r="D27" s="2331" t="s">
        <v>197</v>
      </c>
      <c r="E27" s="2346" t="s">
        <v>301</v>
      </c>
      <c r="F27" s="2346"/>
      <c r="G27" s="2346"/>
      <c r="H27" s="2346"/>
      <c r="I27" s="2380" t="s">
        <v>216</v>
      </c>
      <c r="J27" s="2331" t="s">
        <v>201</v>
      </c>
      <c r="K27" s="2331" t="s">
        <v>198</v>
      </c>
      <c r="L27" s="2409" t="str">
        <f>I22</f>
        <v/>
      </c>
      <c r="M27" s="2409"/>
      <c r="N27" s="2409"/>
      <c r="O27" s="2331" t="s">
        <v>199</v>
      </c>
      <c r="P27" s="2331" t="s">
        <v>197</v>
      </c>
      <c r="Q27" s="459">
        <v>21</v>
      </c>
      <c r="R27" s="495" t="s">
        <v>302</v>
      </c>
      <c r="S27" s="459" t="s">
        <v>198</v>
      </c>
      <c r="T27" s="2358" t="str">
        <f>IF('대기측정 분석결과서'!J23=1,"",IF('먼지측정 사전 Data'!R13=20.9,"-",'먼지측정 사전 Data'!R13))</f>
        <v/>
      </c>
      <c r="U27" s="2358"/>
      <c r="V27" s="2358"/>
      <c r="W27" s="459" t="s">
        <v>199</v>
      </c>
      <c r="AG27" s="439"/>
    </row>
    <row r="28" spans="1:33" s="437" customFormat="1" ht="18" customHeight="1">
      <c r="A28" s="2355"/>
      <c r="B28" s="2346"/>
      <c r="C28" s="2346"/>
      <c r="D28" s="2346"/>
      <c r="E28" s="2346" t="s">
        <v>303</v>
      </c>
      <c r="F28" s="2346"/>
      <c r="G28" s="2346"/>
      <c r="H28" s="2346"/>
      <c r="I28" s="2386"/>
      <c r="J28" s="2346"/>
      <c r="K28" s="2346"/>
      <c r="L28" s="2358"/>
      <c r="M28" s="2358"/>
      <c r="N28" s="2358"/>
      <c r="O28" s="2346"/>
      <c r="P28" s="2346"/>
      <c r="Q28" s="459">
        <v>21</v>
      </c>
      <c r="R28" s="495" t="s">
        <v>287</v>
      </c>
      <c r="S28" s="459" t="s">
        <v>198</v>
      </c>
      <c r="T28" s="2387" t="str">
        <f>IF('대기측정 분석결과서'!J23=1,"",IF('먼지측정 사전 Data'!R13=20.9,"-",'먼지측정 사전 Data'!H14))</f>
        <v/>
      </c>
      <c r="U28" s="2387"/>
      <c r="V28" s="2387"/>
      <c r="W28" s="459" t="s">
        <v>199</v>
      </c>
      <c r="X28" s="459"/>
      <c r="Y28" s="459"/>
      <c r="Z28" s="459"/>
      <c r="AA28" s="459"/>
      <c r="AB28" s="459"/>
      <c r="AC28" s="459"/>
      <c r="AD28" s="459"/>
      <c r="AE28" s="459"/>
      <c r="AF28" s="459"/>
      <c r="AG28" s="464"/>
    </row>
    <row r="29" spans="1:33" s="437" customFormat="1" ht="18" customHeight="1">
      <c r="A29" s="2335" t="s">
        <v>304</v>
      </c>
      <c r="B29" s="2336"/>
      <c r="C29" s="2336"/>
      <c r="D29" s="2336"/>
      <c r="E29" s="2336"/>
      <c r="F29" s="441"/>
      <c r="G29" s="441"/>
      <c r="H29" s="441"/>
      <c r="I29" s="2382" t="s">
        <v>305</v>
      </c>
      <c r="J29" s="2336"/>
      <c r="K29" s="2336"/>
      <c r="L29" s="2336"/>
      <c r="M29" s="2383" t="e">
        <f>IF('먼지측정 사전 Data'!R13=20.9,L30,ROUND(L30/((21-T30)/(21-T31)),1))</f>
        <v>#DIV/0!</v>
      </c>
      <c r="N29" s="2384"/>
      <c r="O29" s="2384"/>
      <c r="P29" s="2384"/>
      <c r="Q29" s="2384"/>
      <c r="R29" s="2384"/>
      <c r="S29" s="2336" t="s">
        <v>877</v>
      </c>
      <c r="T29" s="2336"/>
      <c r="U29" s="2336"/>
      <c r="V29" s="2336"/>
      <c r="W29" s="437" t="s">
        <v>457</v>
      </c>
      <c r="X29" s="2391" t="e">
        <f>ROUND(M29/60,1)</f>
        <v>#DIV/0!</v>
      </c>
      <c r="Y29" s="2391"/>
      <c r="Z29" s="2391"/>
      <c r="AA29" s="2391"/>
      <c r="AB29" s="2336" t="s">
        <v>878</v>
      </c>
      <c r="AC29" s="2336"/>
      <c r="AD29" s="2336"/>
      <c r="AG29" s="439"/>
    </row>
    <row r="30" spans="1:33" s="437" customFormat="1" ht="21.75" customHeight="1">
      <c r="A30" s="2330" t="s">
        <v>306</v>
      </c>
      <c r="B30" s="2331" t="s">
        <v>201</v>
      </c>
      <c r="C30" s="2331" t="s">
        <v>284</v>
      </c>
      <c r="D30" s="2379" t="s">
        <v>295</v>
      </c>
      <c r="E30" s="2346" t="s">
        <v>301</v>
      </c>
      <c r="F30" s="2346"/>
      <c r="G30" s="2346"/>
      <c r="H30" s="2346"/>
      <c r="I30" s="2380" t="s">
        <v>306</v>
      </c>
      <c r="J30" s="2331" t="s">
        <v>201</v>
      </c>
      <c r="K30" s="2338" t="s">
        <v>198</v>
      </c>
      <c r="L30" s="2376" t="e">
        <f>G14</f>
        <v>#DIV/0!</v>
      </c>
      <c r="M30" s="2376"/>
      <c r="N30" s="2376"/>
      <c r="O30" s="2338" t="s">
        <v>199</v>
      </c>
      <c r="P30" s="2379" t="s">
        <v>295</v>
      </c>
      <c r="Q30" s="459">
        <v>21</v>
      </c>
      <c r="R30" s="495" t="s">
        <v>302</v>
      </c>
      <c r="S30" s="459" t="s">
        <v>198</v>
      </c>
      <c r="T30" s="2358" t="str">
        <f>IF('먼지측정 사전 Data'!R13=20.9,"-",'먼지측정 사전 Data'!R13)</f>
        <v>-</v>
      </c>
      <c r="U30" s="2358"/>
      <c r="V30" s="2358"/>
      <c r="W30" s="459" t="s">
        <v>199</v>
      </c>
      <c r="AG30" s="439"/>
    </row>
    <row r="31" spans="1:33" s="437" customFormat="1" ht="23.25" customHeight="1" thickBot="1">
      <c r="A31" s="2332"/>
      <c r="B31" s="2333"/>
      <c r="C31" s="2333"/>
      <c r="D31" s="2333"/>
      <c r="E31" s="2333" t="s">
        <v>303</v>
      </c>
      <c r="F31" s="2333"/>
      <c r="G31" s="2333"/>
      <c r="H31" s="2333"/>
      <c r="I31" s="2381"/>
      <c r="J31" s="2333"/>
      <c r="K31" s="2378"/>
      <c r="L31" s="2377"/>
      <c r="M31" s="2377"/>
      <c r="N31" s="2377"/>
      <c r="O31" s="2378"/>
      <c r="P31" s="2333"/>
      <c r="Q31" s="506">
        <v>21</v>
      </c>
      <c r="R31" s="496" t="s">
        <v>287</v>
      </c>
      <c r="S31" s="506" t="s">
        <v>198</v>
      </c>
      <c r="T31" s="2390" t="str">
        <f>IF('먼지측정 사전 Data'!R13=20.9,"-",'먼지측정 사전 Data'!H14)</f>
        <v>-</v>
      </c>
      <c r="U31" s="2390"/>
      <c r="V31" s="2390"/>
      <c r="W31" s="506" t="s">
        <v>199</v>
      </c>
      <c r="X31" s="506"/>
      <c r="Y31" s="506"/>
      <c r="Z31" s="506"/>
      <c r="AA31" s="506"/>
      <c r="AB31" s="506"/>
      <c r="AC31" s="506"/>
      <c r="AD31" s="506"/>
      <c r="AE31" s="506"/>
      <c r="AF31" s="506"/>
      <c r="AG31" s="473"/>
    </row>
    <row r="32" spans="1:33" s="437" customFormat="1" ht="18" customHeight="1">
      <c r="A32" s="497" t="s">
        <v>281</v>
      </c>
      <c r="B32" s="441"/>
      <c r="C32" s="441" t="s">
        <v>307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2331" t="s">
        <v>308</v>
      </c>
      <c r="Q32" s="2331"/>
      <c r="R32" s="441" t="s">
        <v>879</v>
      </c>
      <c r="S32" s="441"/>
      <c r="T32" s="441"/>
      <c r="U32" s="441"/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4" t="s">
        <v>260</v>
      </c>
      <c r="B33" s="441"/>
      <c r="C33" s="441" t="s">
        <v>309</v>
      </c>
      <c r="D33" s="441"/>
      <c r="E33" s="441"/>
      <c r="F33" s="441"/>
      <c r="G33" s="441"/>
      <c r="H33" s="441"/>
      <c r="I33" s="441"/>
      <c r="J33" s="441"/>
      <c r="K33" s="441"/>
      <c r="L33" s="441"/>
      <c r="M33" s="441"/>
      <c r="N33" s="441"/>
      <c r="O33" s="441"/>
      <c r="P33" s="2331" t="s">
        <v>251</v>
      </c>
      <c r="Q33" s="2331"/>
      <c r="R33" s="441" t="s">
        <v>255</v>
      </c>
      <c r="S33" s="441"/>
      <c r="T33" s="441"/>
      <c r="U33" s="441"/>
      <c r="V33" s="441"/>
      <c r="W33" s="441"/>
      <c r="X33" s="441"/>
      <c r="Y33" s="441"/>
      <c r="Z33" s="441"/>
      <c r="AA33" s="441"/>
      <c r="AB33" s="441"/>
      <c r="AC33" s="441"/>
      <c r="AD33" s="441"/>
      <c r="AE33" s="441"/>
      <c r="AF33" s="441"/>
      <c r="AG33" s="455"/>
    </row>
    <row r="34" spans="1:33" s="437" customFormat="1" ht="18" customHeight="1">
      <c r="A34" s="475" t="s">
        <v>279</v>
      </c>
      <c r="B34" s="476"/>
      <c r="C34" s="476" t="s">
        <v>310</v>
      </c>
      <c r="D34" s="476"/>
      <c r="E34" s="476"/>
      <c r="F34" s="476"/>
      <c r="G34" s="476"/>
      <c r="H34" s="476"/>
      <c r="I34" s="476"/>
      <c r="J34" s="476"/>
      <c r="K34" s="476"/>
      <c r="L34" s="476"/>
      <c r="M34" s="476"/>
      <c r="N34" s="476"/>
      <c r="O34" s="476"/>
      <c r="P34" s="2341" t="s">
        <v>267</v>
      </c>
      <c r="Q34" s="2341"/>
      <c r="R34" s="476" t="s">
        <v>311</v>
      </c>
      <c r="S34" s="476"/>
      <c r="T34" s="476"/>
      <c r="U34" s="476"/>
      <c r="V34" s="476"/>
      <c r="W34" s="476"/>
      <c r="X34" s="476"/>
      <c r="Y34" s="476"/>
      <c r="Z34" s="476"/>
      <c r="AA34" s="476"/>
      <c r="AB34" s="476"/>
      <c r="AC34" s="476"/>
      <c r="AD34" s="476"/>
      <c r="AE34" s="476"/>
      <c r="AF34" s="476"/>
      <c r="AG34" s="477"/>
    </row>
    <row r="35" spans="1:33" s="437" customFormat="1" ht="18" customHeight="1">
      <c r="A35" s="474" t="s">
        <v>312</v>
      </c>
      <c r="B35" s="441"/>
      <c r="C35" s="441" t="s">
        <v>895</v>
      </c>
      <c r="D35" s="441"/>
      <c r="E35" s="441"/>
      <c r="F35" s="441"/>
      <c r="G35" s="441"/>
      <c r="H35" s="441"/>
      <c r="I35" s="441"/>
      <c r="J35" s="441"/>
      <c r="K35" s="441"/>
      <c r="L35" s="441"/>
      <c r="M35" s="441"/>
      <c r="N35" s="441"/>
      <c r="O35" s="441"/>
      <c r="P35" s="2328" t="s">
        <v>273</v>
      </c>
      <c r="Q35" s="2328"/>
      <c r="R35" s="441" t="s">
        <v>869</v>
      </c>
      <c r="S35" s="441"/>
      <c r="T35" s="441"/>
      <c r="U35" s="441"/>
      <c r="V35" s="441"/>
      <c r="W35" s="441"/>
      <c r="X35" s="441"/>
      <c r="Y35" s="441"/>
      <c r="Z35" s="441"/>
      <c r="AA35" s="441"/>
      <c r="AB35" s="441"/>
      <c r="AC35" s="441"/>
      <c r="AD35" s="441"/>
      <c r="AE35" s="441"/>
      <c r="AF35" s="441"/>
      <c r="AG35" s="455"/>
    </row>
    <row r="36" spans="1:33" s="437" customFormat="1" ht="18" customHeight="1">
      <c r="A36" s="2407" t="s">
        <v>892</v>
      </c>
      <c r="B36" s="2408"/>
      <c r="C36" s="441" t="s">
        <v>313</v>
      </c>
      <c r="D36" s="441"/>
      <c r="E36" s="441"/>
      <c r="F36" s="441"/>
      <c r="G36" s="441"/>
      <c r="H36" s="441"/>
      <c r="I36" s="441"/>
      <c r="J36" s="441"/>
      <c r="K36" s="441"/>
      <c r="L36" s="441"/>
      <c r="M36" s="441"/>
      <c r="N36" s="441"/>
      <c r="O36" s="441"/>
      <c r="P36" s="2331" t="s">
        <v>251</v>
      </c>
      <c r="Q36" s="2331"/>
      <c r="R36" s="441" t="s">
        <v>252</v>
      </c>
      <c r="S36" s="441"/>
      <c r="T36" s="441"/>
      <c r="U36" s="441"/>
      <c r="V36" s="441"/>
      <c r="W36" s="441"/>
      <c r="X36" s="441"/>
      <c r="Y36" s="441"/>
      <c r="Z36" s="441"/>
      <c r="AA36" s="441"/>
      <c r="AB36" s="441"/>
      <c r="AC36" s="441"/>
      <c r="AD36" s="441"/>
      <c r="AE36" s="441"/>
      <c r="AF36" s="441"/>
      <c r="AG36" s="455"/>
    </row>
    <row r="37" spans="1:33" s="437" customFormat="1" ht="18" customHeight="1">
      <c r="A37" s="2396" t="s">
        <v>893</v>
      </c>
      <c r="B37" s="2397"/>
      <c r="C37" s="476" t="s">
        <v>894</v>
      </c>
      <c r="D37" s="476"/>
      <c r="E37" s="476"/>
      <c r="F37" s="476"/>
      <c r="G37" s="476"/>
      <c r="H37" s="476"/>
      <c r="I37" s="476"/>
      <c r="J37" s="476"/>
      <c r="K37" s="476"/>
      <c r="L37" s="476"/>
      <c r="M37" s="476"/>
      <c r="N37" s="476"/>
      <c r="O37" s="476"/>
      <c r="P37" s="476"/>
      <c r="Q37" s="476"/>
      <c r="R37" s="476"/>
      <c r="S37" s="476"/>
      <c r="T37" s="476"/>
      <c r="U37" s="476"/>
      <c r="V37" s="476"/>
      <c r="W37" s="476"/>
      <c r="X37" s="476"/>
      <c r="Y37" s="476"/>
      <c r="Z37" s="476"/>
      <c r="AA37" s="476"/>
      <c r="AB37" s="476"/>
      <c r="AC37" s="476"/>
      <c r="AD37" s="476"/>
      <c r="AE37" s="476"/>
      <c r="AF37" s="476"/>
      <c r="AG37" s="477"/>
    </row>
    <row r="38" spans="1:33" s="437" customFormat="1" ht="18" customHeight="1">
      <c r="A38" s="474" t="s">
        <v>249</v>
      </c>
      <c r="B38" s="441"/>
      <c r="C38" s="441" t="s">
        <v>314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2328" t="s">
        <v>317</v>
      </c>
      <c r="Q38" s="2328"/>
      <c r="R38" s="441" t="s">
        <v>318</v>
      </c>
      <c r="S38" s="441"/>
      <c r="T38" s="441"/>
      <c r="U38" s="441"/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5" t="s">
        <v>276</v>
      </c>
      <c r="B39" s="476"/>
      <c r="C39" s="476" t="s">
        <v>870</v>
      </c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P39" s="2341" t="s">
        <v>320</v>
      </c>
      <c r="Q39" s="2341"/>
      <c r="R39" s="476" t="s">
        <v>881</v>
      </c>
      <c r="S39" s="476"/>
      <c r="T39" s="476"/>
      <c r="U39" s="476"/>
      <c r="V39" s="476"/>
      <c r="W39" s="476"/>
      <c r="X39" s="476"/>
      <c r="Y39" s="476"/>
      <c r="Z39" s="476"/>
      <c r="AA39" s="476"/>
      <c r="AB39" s="476"/>
      <c r="AC39" s="476"/>
      <c r="AD39" s="476"/>
      <c r="AE39" s="476"/>
      <c r="AF39" s="476"/>
      <c r="AG39" s="477"/>
    </row>
    <row r="40" spans="1:33" s="437" customFormat="1" ht="18" customHeight="1">
      <c r="A40" s="474" t="s">
        <v>315</v>
      </c>
      <c r="B40" s="441"/>
      <c r="C40" s="441" t="s">
        <v>316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319</v>
      </c>
      <c r="B41" s="441"/>
      <c r="C41" s="441" t="s">
        <v>880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/>
      <c r="O41" s="441"/>
      <c r="P41" s="441"/>
      <c r="Q41" s="441"/>
      <c r="R41" s="441"/>
      <c r="S41" s="441"/>
      <c r="T41" s="441"/>
      <c r="U41" s="441"/>
      <c r="V41" s="441"/>
      <c r="W41" s="441"/>
      <c r="X41" s="441"/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 thickBot="1">
      <c r="A42" s="481"/>
      <c r="B42" s="482"/>
      <c r="C42" s="482"/>
      <c r="D42" s="482"/>
      <c r="E42" s="482"/>
      <c r="F42" s="482"/>
      <c r="G42" s="482"/>
      <c r="H42" s="482"/>
      <c r="I42" s="482"/>
      <c r="J42" s="482"/>
      <c r="K42" s="482"/>
      <c r="L42" s="482"/>
      <c r="M42" s="482"/>
      <c r="N42" s="482"/>
      <c r="O42" s="482"/>
      <c r="P42" s="482"/>
      <c r="Q42" s="482"/>
      <c r="R42" s="482"/>
      <c r="S42" s="482"/>
      <c r="T42" s="482"/>
      <c r="U42" s="482"/>
      <c r="V42" s="482"/>
      <c r="W42" s="482"/>
      <c r="X42" s="482"/>
      <c r="Y42" s="482"/>
      <c r="Z42" s="482"/>
      <c r="AA42" s="482"/>
      <c r="AB42" s="482"/>
      <c r="AC42" s="482"/>
      <c r="AD42" s="482"/>
      <c r="AE42" s="482"/>
      <c r="AF42" s="482"/>
      <c r="AG42" s="483"/>
    </row>
  </sheetData>
  <mergeCells count="144">
    <mergeCell ref="AD23:AG23"/>
    <mergeCell ref="AA24:AB24"/>
    <mergeCell ref="AD24:AG24"/>
    <mergeCell ref="AA25:AB25"/>
    <mergeCell ref="AD25:AG25"/>
    <mergeCell ref="N19:X19"/>
    <mergeCell ref="R20:S20"/>
    <mergeCell ref="AB20:AC20"/>
    <mergeCell ref="A36:B36"/>
    <mergeCell ref="K27:K28"/>
    <mergeCell ref="L27:N28"/>
    <mergeCell ref="O27:O28"/>
    <mergeCell ref="P27:P28"/>
    <mergeCell ref="T27:V27"/>
    <mergeCell ref="A22:H22"/>
    <mergeCell ref="I22:N22"/>
    <mergeCell ref="O22:R22"/>
    <mergeCell ref="A23:A24"/>
    <mergeCell ref="B23:B24"/>
    <mergeCell ref="I23:S23"/>
    <mergeCell ref="C24:C25"/>
    <mergeCell ref="D24:E25"/>
    <mergeCell ref="F24:F25"/>
    <mergeCell ref="G24:L24"/>
    <mergeCell ref="A37:B37"/>
    <mergeCell ref="R21:S21"/>
    <mergeCell ref="U20:X20"/>
    <mergeCell ref="U21:X21"/>
    <mergeCell ref="AA23:AB23"/>
    <mergeCell ref="A3:AG3"/>
    <mergeCell ref="Z1:AC1"/>
    <mergeCell ref="AD1:AF1"/>
    <mergeCell ref="Z2:AC2"/>
    <mergeCell ref="AD2:AF2"/>
    <mergeCell ref="B7:F7"/>
    <mergeCell ref="H7:K7"/>
    <mergeCell ref="A10:M10"/>
    <mergeCell ref="N10:AG10"/>
    <mergeCell ref="A11:F11"/>
    <mergeCell ref="G11:I11"/>
    <mergeCell ref="B4:F4"/>
    <mergeCell ref="W4:AA4"/>
    <mergeCell ref="B5:F5"/>
    <mergeCell ref="W5:AA5"/>
    <mergeCell ref="B6:F6"/>
    <mergeCell ref="R12:R13"/>
    <mergeCell ref="S12:T13"/>
    <mergeCell ref="J13:L13"/>
    <mergeCell ref="P13:Q13"/>
    <mergeCell ref="A14:F14"/>
    <mergeCell ref="G14:J14"/>
    <mergeCell ref="K14:L14"/>
    <mergeCell ref="I12:I13"/>
    <mergeCell ref="J12:K12"/>
    <mergeCell ref="M12:M13"/>
    <mergeCell ref="N12:N13"/>
    <mergeCell ref="O12:O13"/>
    <mergeCell ref="P12:Q12"/>
    <mergeCell ref="A12:A13"/>
    <mergeCell ref="B12:B13"/>
    <mergeCell ref="C12:C13"/>
    <mergeCell ref="D12:D13"/>
    <mergeCell ref="E12:E13"/>
    <mergeCell ref="F12:H12"/>
    <mergeCell ref="H15:I16"/>
    <mergeCell ref="J15:J16"/>
    <mergeCell ref="K15:K16"/>
    <mergeCell ref="L15:P15"/>
    <mergeCell ref="Q15:Q16"/>
    <mergeCell ref="S15:T15"/>
    <mergeCell ref="A15:A16"/>
    <mergeCell ref="B15:B16"/>
    <mergeCell ref="C15:C16"/>
    <mergeCell ref="D15:E16"/>
    <mergeCell ref="F15:F16"/>
    <mergeCell ref="G15:G16"/>
    <mergeCell ref="V15:X15"/>
    <mergeCell ref="Z15:Z16"/>
    <mergeCell ref="AA15:AA16"/>
    <mergeCell ref="AC15:AD15"/>
    <mergeCell ref="AF15:AF16"/>
    <mergeCell ref="L16:M16"/>
    <mergeCell ref="N16:O16"/>
    <mergeCell ref="R16:Y16"/>
    <mergeCell ref="AB16:AE16"/>
    <mergeCell ref="D17:F17"/>
    <mergeCell ref="A18:H18"/>
    <mergeCell ref="A19:A20"/>
    <mergeCell ref="B19:B20"/>
    <mergeCell ref="C19:L19"/>
    <mergeCell ref="C20:C21"/>
    <mergeCell ref="D20:D21"/>
    <mergeCell ref="E20:F20"/>
    <mergeCell ref="G20:G21"/>
    <mergeCell ref="K20:L20"/>
    <mergeCell ref="E21:F21"/>
    <mergeCell ref="H21:L21"/>
    <mergeCell ref="M24:M25"/>
    <mergeCell ref="O24:Q24"/>
    <mergeCell ref="S24:U24"/>
    <mergeCell ref="W24:Y24"/>
    <mergeCell ref="G25:H25"/>
    <mergeCell ref="I25:K25"/>
    <mergeCell ref="N25:Y25"/>
    <mergeCell ref="T30:V30"/>
    <mergeCell ref="E31:H31"/>
    <mergeCell ref="T31:V31"/>
    <mergeCell ref="X29:AA29"/>
    <mergeCell ref="AB29:AD29"/>
    <mergeCell ref="M29:R29"/>
    <mergeCell ref="S29:V29"/>
    <mergeCell ref="A26:E26"/>
    <mergeCell ref="I26:L26"/>
    <mergeCell ref="M26:R26"/>
    <mergeCell ref="S26:V26"/>
    <mergeCell ref="A27:A28"/>
    <mergeCell ref="B27:B28"/>
    <mergeCell ref="C27:C28"/>
    <mergeCell ref="D27:D28"/>
    <mergeCell ref="E27:H27"/>
    <mergeCell ref="I27:I28"/>
    <mergeCell ref="E28:H28"/>
    <mergeCell ref="T28:V28"/>
    <mergeCell ref="J27:J28"/>
    <mergeCell ref="A30:A31"/>
    <mergeCell ref="B30:B31"/>
    <mergeCell ref="C30:C31"/>
    <mergeCell ref="D30:D31"/>
    <mergeCell ref="E30:H30"/>
    <mergeCell ref="I30:I31"/>
    <mergeCell ref="J30:J31"/>
    <mergeCell ref="K30:K31"/>
    <mergeCell ref="A29:E29"/>
    <mergeCell ref="I29:L29"/>
    <mergeCell ref="P39:Q39"/>
    <mergeCell ref="P32:Q32"/>
    <mergeCell ref="P33:Q33"/>
    <mergeCell ref="P34:Q34"/>
    <mergeCell ref="P35:Q35"/>
    <mergeCell ref="P36:Q36"/>
    <mergeCell ref="P38:Q38"/>
    <mergeCell ref="L30:N31"/>
    <mergeCell ref="O30:O31"/>
    <mergeCell ref="P30:P31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5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G43"/>
  <sheetViews>
    <sheetView view="pageBreakPreview" topLeftCell="A7" zoomScaleNormal="100" zoomScaleSheetLayoutView="100" workbookViewId="0">
      <selection activeCell="AL15" sqref="AL15:AQ15"/>
    </sheetView>
  </sheetViews>
  <sheetFormatPr defaultColWidth="3.125" defaultRowHeight="18" customHeight="1"/>
  <cols>
    <col min="1" max="1" width="3.375" style="431" customWidth="1"/>
    <col min="2" max="2" width="1.875" style="431" customWidth="1"/>
    <col min="3" max="3" width="3.125" style="431" customWidth="1"/>
    <col min="4" max="4" width="2.125" style="431" customWidth="1"/>
    <col min="5" max="6" width="3.75" style="431" customWidth="1"/>
    <col min="7" max="7" width="2.25" style="431" customWidth="1"/>
    <col min="8" max="9" width="3.75" style="431" customWidth="1"/>
    <col min="10" max="10" width="2" style="431" customWidth="1"/>
    <col min="11" max="13" width="3.125" style="431" customWidth="1"/>
    <col min="14" max="14" width="3.75" style="431" customWidth="1"/>
    <col min="15" max="15" width="2.125" style="431" customWidth="1"/>
    <col min="16" max="16" width="2.25" style="431" customWidth="1"/>
    <col min="17" max="17" width="4.125" style="431" customWidth="1"/>
    <col min="18" max="18" width="4" style="431" customWidth="1"/>
    <col min="19" max="20" width="3.125" style="431" customWidth="1"/>
    <col min="21" max="21" width="5.125" style="431" customWidth="1"/>
    <col min="22" max="22" width="2" style="431" customWidth="1"/>
    <col min="23" max="23" width="3.25" style="431" customWidth="1"/>
    <col min="24" max="24" width="2.375" style="431" customWidth="1"/>
    <col min="25" max="25" width="4.875" style="431" customWidth="1"/>
    <col min="26" max="26" width="3.75" style="431" customWidth="1"/>
    <col min="27" max="27" width="4.25" style="431" customWidth="1"/>
    <col min="28" max="28" width="2.375" style="431" customWidth="1"/>
    <col min="29" max="29" width="2" style="431" customWidth="1"/>
    <col min="30" max="30" width="5.625" style="431" bestFit="1" customWidth="1"/>
    <col min="31" max="31" width="2.25" style="431" customWidth="1"/>
    <col min="32" max="32" width="4.25" style="431" customWidth="1"/>
    <col min="33" max="33" width="2.25" style="431" customWidth="1"/>
    <col min="34" max="16384" width="3.125" style="431"/>
  </cols>
  <sheetData>
    <row r="1" spans="1:33" ht="21.95" customHeight="1">
      <c r="A1" s="430"/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2316" t="s">
        <v>851</v>
      </c>
      <c r="AA1" s="2316"/>
      <c r="AB1" s="2316"/>
      <c r="AC1" s="2316"/>
      <c r="AD1" s="2316" t="s">
        <v>852</v>
      </c>
      <c r="AE1" s="2316"/>
      <c r="AF1" s="2316"/>
      <c r="AG1" s="430"/>
    </row>
    <row r="2" spans="1:33" ht="24" customHeight="1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2318"/>
      <c r="AA2" s="2318"/>
      <c r="AB2" s="2318"/>
      <c r="AC2" s="2318"/>
      <c r="AD2" s="2317"/>
      <c r="AE2" s="2317"/>
      <c r="AF2" s="2317"/>
      <c r="AG2" s="432"/>
    </row>
    <row r="3" spans="1:33" ht="33" customHeight="1">
      <c r="A3" s="2369" t="s">
        <v>512</v>
      </c>
      <c r="B3" s="2369"/>
      <c r="C3" s="2369"/>
      <c r="D3" s="2369"/>
      <c r="E3" s="2369"/>
      <c r="F3" s="2369"/>
      <c r="G3" s="2369"/>
      <c r="H3" s="2369"/>
      <c r="I3" s="2369"/>
      <c r="J3" s="2369"/>
      <c r="K3" s="2369"/>
      <c r="L3" s="2369"/>
      <c r="M3" s="2369"/>
      <c r="N3" s="2369"/>
      <c r="O3" s="2369"/>
      <c r="P3" s="2369"/>
      <c r="Q3" s="2369"/>
      <c r="R3" s="2369"/>
      <c r="S3" s="2369"/>
      <c r="T3" s="2369"/>
      <c r="U3" s="2369"/>
      <c r="V3" s="2369"/>
      <c r="W3" s="2369"/>
      <c r="X3" s="2369"/>
      <c r="Y3" s="2369"/>
      <c r="Z3" s="2369"/>
      <c r="AA3" s="2369"/>
      <c r="AB3" s="2369"/>
      <c r="AC3" s="2369"/>
      <c r="AD3" s="2369"/>
      <c r="AE3" s="2369"/>
      <c r="AF3" s="2369"/>
      <c r="AG3" s="2369"/>
    </row>
    <row r="4" spans="1:33" ht="18.75" customHeight="1">
      <c r="A4" s="432"/>
      <c r="B4" s="2195" t="s">
        <v>513</v>
      </c>
      <c r="C4" s="2195"/>
      <c r="D4" s="2195"/>
      <c r="E4" s="2195"/>
      <c r="F4" s="2195"/>
      <c r="G4" s="20" t="s">
        <v>15</v>
      </c>
      <c r="H4" s="20" t="s">
        <v>514</v>
      </c>
      <c r="I4" s="20"/>
      <c r="J4" s="20"/>
      <c r="K4" s="20"/>
      <c r="L4" s="20"/>
      <c r="M4" s="20"/>
      <c r="N4" s="20"/>
      <c r="O4" s="20"/>
      <c r="P4" s="20"/>
      <c r="Q4" s="20"/>
      <c r="R4" s="20" t="s">
        <v>515</v>
      </c>
      <c r="S4" s="20"/>
      <c r="T4" s="20"/>
      <c r="U4" s="20"/>
      <c r="V4" s="52" t="s">
        <v>46</v>
      </c>
      <c r="W4" s="2375">
        <f>'대기측정 분석결과서'!Z1</f>
        <v>0</v>
      </c>
      <c r="X4" s="2375"/>
      <c r="Y4" s="2375"/>
      <c r="Z4" s="2375"/>
      <c r="AA4" s="2375"/>
      <c r="AB4" s="433"/>
      <c r="AC4" s="432"/>
      <c r="AD4" s="432"/>
      <c r="AE4" s="432"/>
      <c r="AF4" s="432"/>
      <c r="AG4" s="432"/>
    </row>
    <row r="5" spans="1:33" ht="18.75" customHeight="1">
      <c r="A5" s="432"/>
      <c r="B5" s="2195" t="s">
        <v>516</v>
      </c>
      <c r="C5" s="2195"/>
      <c r="D5" s="2195"/>
      <c r="E5" s="2195"/>
      <c r="F5" s="2195"/>
      <c r="G5" s="52" t="s">
        <v>15</v>
      </c>
      <c r="H5" s="52"/>
      <c r="I5" s="417"/>
      <c r="J5" s="20"/>
      <c r="K5" s="20"/>
      <c r="L5" s="20"/>
      <c r="M5" s="20"/>
      <c r="N5" s="20"/>
      <c r="O5" s="20"/>
      <c r="P5" s="20"/>
      <c r="Q5" s="20"/>
      <c r="R5" s="20" t="s">
        <v>517</v>
      </c>
      <c r="S5" s="20"/>
      <c r="T5" s="20"/>
      <c r="U5" s="20"/>
      <c r="V5" s="20" t="s">
        <v>46</v>
      </c>
      <c r="W5" s="2375">
        <f>W4</f>
        <v>0</v>
      </c>
      <c r="X5" s="2375"/>
      <c r="Y5" s="2375"/>
      <c r="Z5" s="2375"/>
      <c r="AA5" s="2375"/>
      <c r="AB5" s="52"/>
      <c r="AC5" s="432"/>
      <c r="AD5" s="432"/>
      <c r="AE5" s="432"/>
      <c r="AF5" s="432"/>
      <c r="AG5" s="432"/>
    </row>
    <row r="6" spans="1:33" ht="18.75" customHeight="1">
      <c r="A6" s="432"/>
      <c r="B6" s="2195" t="s">
        <v>518</v>
      </c>
      <c r="C6" s="2195"/>
      <c r="D6" s="2195"/>
      <c r="E6" s="2195"/>
      <c r="F6" s="2195"/>
      <c r="G6" s="20" t="s">
        <v>15</v>
      </c>
      <c r="H6" s="52"/>
      <c r="I6" s="52"/>
      <c r="J6" s="52"/>
      <c r="K6" s="52"/>
      <c r="L6" s="52"/>
      <c r="M6" s="52"/>
      <c r="N6" s="52"/>
      <c r="O6" s="20"/>
      <c r="P6" s="20"/>
      <c r="Q6" s="20"/>
      <c r="R6" s="20" t="s">
        <v>519</v>
      </c>
      <c r="S6" s="20"/>
      <c r="T6" s="20"/>
      <c r="U6" s="20"/>
      <c r="V6" s="20" t="s">
        <v>46</v>
      </c>
      <c r="W6" s="434" t="str">
        <f>'먼지측정 사전 Data'!H5</f>
        <v>2026-02-06 ~ 1900-01-00</v>
      </c>
      <c r="X6" s="434"/>
      <c r="Y6" s="52"/>
      <c r="Z6" s="435"/>
      <c r="AA6" s="435"/>
      <c r="AB6" s="433"/>
      <c r="AC6" s="432"/>
      <c r="AD6" s="432"/>
      <c r="AE6" s="432"/>
      <c r="AF6" s="432"/>
      <c r="AG6" s="432"/>
    </row>
    <row r="7" spans="1:33" ht="18.75" customHeight="1">
      <c r="A7" s="432"/>
      <c r="B7" s="2195" t="s">
        <v>520</v>
      </c>
      <c r="C7" s="2195"/>
      <c r="D7" s="2195"/>
      <c r="E7" s="2195"/>
      <c r="F7" s="2195"/>
      <c r="G7" s="52" t="s">
        <v>15</v>
      </c>
      <c r="H7" s="2228">
        <f>'먼지측정 사전 Data'!H4</f>
        <v>0</v>
      </c>
      <c r="I7" s="2228"/>
      <c r="J7" s="2228"/>
      <c r="K7" s="2228"/>
      <c r="L7" s="53"/>
      <c r="M7" s="53"/>
      <c r="N7" s="53"/>
      <c r="O7" s="53"/>
      <c r="P7" s="53"/>
      <c r="Q7" s="53"/>
      <c r="R7" s="53"/>
      <c r="S7" s="53"/>
      <c r="T7" s="53"/>
      <c r="U7" s="54"/>
      <c r="V7" s="54"/>
      <c r="W7" s="20"/>
      <c r="X7" s="20"/>
      <c r="Y7" s="20"/>
      <c r="Z7" s="52"/>
      <c r="AA7" s="52"/>
      <c r="AB7" s="433"/>
      <c r="AC7" s="432"/>
      <c r="AD7" s="432"/>
      <c r="AE7" s="432"/>
      <c r="AF7" s="432"/>
      <c r="AG7" s="432"/>
    </row>
    <row r="8" spans="1:33" ht="12.75" customHeight="1"/>
    <row r="9" spans="1:33" ht="18" customHeight="1" thickBot="1">
      <c r="A9" s="436"/>
      <c r="B9" s="436"/>
      <c r="C9" s="436"/>
    </row>
    <row r="10" spans="1:33" s="437" customFormat="1" ht="25.5" customHeight="1" thickBot="1">
      <c r="A10" s="2370" t="s">
        <v>190</v>
      </c>
      <c r="B10" s="2371"/>
      <c r="C10" s="2371"/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2" t="s">
        <v>191</v>
      </c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3"/>
    </row>
    <row r="11" spans="1:33" s="437" customFormat="1" ht="18" customHeight="1" thickTop="1">
      <c r="A11" s="2330" t="s">
        <v>192</v>
      </c>
      <c r="B11" s="2331"/>
      <c r="C11" s="2331"/>
      <c r="D11" s="2331"/>
      <c r="N11" s="438"/>
      <c r="O11" s="437" t="s">
        <v>193</v>
      </c>
      <c r="Q11" s="2374" t="e">
        <f>ROUND((T13/(Q14+W14))*100,2)</f>
        <v>#DIV/0!</v>
      </c>
      <c r="R11" s="2374"/>
      <c r="S11" s="2374"/>
      <c r="T11" s="2374"/>
      <c r="U11" s="2374"/>
      <c r="W11" s="437" t="s">
        <v>194</v>
      </c>
      <c r="AG11" s="439"/>
    </row>
    <row r="12" spans="1:33" s="437" customFormat="1" ht="18" customHeight="1">
      <c r="A12" s="440"/>
      <c r="C12" s="441"/>
      <c r="D12" s="441"/>
      <c r="E12" s="441"/>
      <c r="F12" s="441"/>
      <c r="G12" s="441"/>
      <c r="H12" s="441"/>
      <c r="I12" s="441"/>
      <c r="J12" s="441"/>
      <c r="N12" s="442"/>
      <c r="P12" s="441"/>
      <c r="Q12" s="441"/>
      <c r="R12" s="441"/>
      <c r="S12" s="441"/>
      <c r="T12" s="441"/>
      <c r="U12" s="443"/>
      <c r="V12" s="441"/>
      <c r="W12" s="441"/>
      <c r="X12" s="441"/>
      <c r="Y12" s="441"/>
      <c r="Z12" s="441"/>
      <c r="AA12" s="441"/>
      <c r="AB12" s="441"/>
      <c r="AG12" s="439"/>
    </row>
    <row r="13" spans="1:33" s="437" customFormat="1" ht="18" customHeight="1">
      <c r="A13" s="2330"/>
      <c r="B13" s="2331"/>
      <c r="C13" s="2417" t="s">
        <v>136</v>
      </c>
      <c r="D13" s="2417"/>
      <c r="E13" s="2418" t="s">
        <v>1</v>
      </c>
      <c r="F13" s="2419" t="s">
        <v>857</v>
      </c>
      <c r="G13" s="2419"/>
      <c r="H13" s="2419"/>
      <c r="I13" s="2419"/>
      <c r="J13" s="2415" t="s">
        <v>197</v>
      </c>
      <c r="K13" s="2415">
        <v>100</v>
      </c>
      <c r="L13" s="2415"/>
      <c r="M13" s="444"/>
      <c r="N13" s="442"/>
      <c r="O13" s="215"/>
      <c r="P13" s="445"/>
      <c r="Q13" s="445"/>
      <c r="R13" s="445"/>
      <c r="S13" s="445" t="s">
        <v>198</v>
      </c>
      <c r="T13" s="2416" t="e">
        <f>'포화수증기압 표 '!E4</f>
        <v>#DIV/0!</v>
      </c>
      <c r="U13" s="2416"/>
      <c r="V13" s="2416"/>
      <c r="W13" s="445" t="s">
        <v>199</v>
      </c>
      <c r="Y13" s="445"/>
      <c r="Z13" s="2415" t="s">
        <v>197</v>
      </c>
      <c r="AA13" s="2415">
        <v>100</v>
      </c>
      <c r="AB13" s="2415" t="s">
        <v>1</v>
      </c>
      <c r="AC13" s="2331" t="s">
        <v>86</v>
      </c>
      <c r="AD13" s="2412" t="e">
        <f>ROUND((T13/(Q14+W14))*100,2)</f>
        <v>#DIV/0!</v>
      </c>
      <c r="AE13" s="2412"/>
      <c r="AF13" s="2412"/>
      <c r="AG13" s="2368" t="s">
        <v>138</v>
      </c>
    </row>
    <row r="14" spans="1:33" s="437" customFormat="1" ht="18" customHeight="1">
      <c r="A14" s="2330"/>
      <c r="B14" s="2331"/>
      <c r="C14" s="2417"/>
      <c r="D14" s="2417"/>
      <c r="E14" s="2418"/>
      <c r="F14" s="2413" t="s">
        <v>858</v>
      </c>
      <c r="G14" s="2413"/>
      <c r="H14" s="446" t="s">
        <v>204</v>
      </c>
      <c r="I14" s="447" t="s">
        <v>623</v>
      </c>
      <c r="J14" s="2415"/>
      <c r="K14" s="2415"/>
      <c r="L14" s="2415"/>
      <c r="M14" s="444"/>
      <c r="N14" s="448"/>
      <c r="O14" s="215"/>
      <c r="P14" s="449" t="s">
        <v>198</v>
      </c>
      <c r="Q14" s="2413">
        <f>'먼지측정 사전 Data'!H20</f>
        <v>0</v>
      </c>
      <c r="R14" s="2413"/>
      <c r="S14" s="2413"/>
      <c r="T14" s="450" t="s">
        <v>199</v>
      </c>
      <c r="U14" s="451" t="s">
        <v>204</v>
      </c>
      <c r="V14" s="449" t="s">
        <v>198</v>
      </c>
      <c r="W14" s="2414" t="e">
        <f>'먼지측정 사전 Data'!U71</f>
        <v>#DIV/0!</v>
      </c>
      <c r="X14" s="2414"/>
      <c r="Y14" s="452" t="s">
        <v>138</v>
      </c>
      <c r="Z14" s="2415"/>
      <c r="AA14" s="2415"/>
      <c r="AB14" s="2415"/>
      <c r="AC14" s="2331"/>
      <c r="AD14" s="2412"/>
      <c r="AE14" s="2412"/>
      <c r="AF14" s="2412"/>
      <c r="AG14" s="2368"/>
    </row>
    <row r="15" spans="1:33" s="437" customFormat="1" ht="24" customHeight="1">
      <c r="A15" s="440"/>
      <c r="C15" s="441"/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2"/>
      <c r="P15" s="441"/>
      <c r="Q15" s="441"/>
      <c r="R15" s="441"/>
      <c r="S15" s="441"/>
      <c r="T15" s="441"/>
      <c r="U15" s="453"/>
      <c r="V15" s="441"/>
      <c r="W15" s="441"/>
      <c r="X15" s="441"/>
      <c r="Y15" s="441"/>
      <c r="Z15" s="441"/>
      <c r="AA15" s="441"/>
      <c r="AB15" s="441"/>
      <c r="AC15" s="441"/>
      <c r="AE15" s="441"/>
      <c r="AF15" s="454"/>
      <c r="AG15" s="455"/>
    </row>
    <row r="16" spans="1:33" s="437" customFormat="1" ht="18" customHeight="1">
      <c r="A16" s="2335" t="s">
        <v>209</v>
      </c>
      <c r="B16" s="2336"/>
      <c r="C16" s="2336"/>
      <c r="D16" s="2336"/>
      <c r="E16" s="2336"/>
      <c r="F16" s="2364" t="s">
        <v>859</v>
      </c>
      <c r="G16" s="2364"/>
      <c r="H16" s="2364"/>
      <c r="I16" s="456"/>
      <c r="J16" s="456"/>
      <c r="K16" s="456"/>
      <c r="L16" s="456"/>
      <c r="M16" s="456"/>
      <c r="N16" s="2353" t="s">
        <v>209</v>
      </c>
      <c r="O16" s="2336"/>
      <c r="P16" s="2336"/>
      <c r="Q16" s="2336"/>
      <c r="R16" s="456" t="s">
        <v>201</v>
      </c>
      <c r="S16" s="2365" t="e">
        <f>ROUND(Q17*273/(273+U18)*(Y17+AA17)/760,3)</f>
        <v>#DIV/0!</v>
      </c>
      <c r="T16" s="2365"/>
      <c r="U16" s="2365"/>
      <c r="V16" s="2336" t="s">
        <v>860</v>
      </c>
      <c r="W16" s="2336"/>
      <c r="X16" s="456"/>
      <c r="Y16" s="456"/>
      <c r="Z16" s="456"/>
      <c r="AA16" s="456"/>
      <c r="AB16" s="456"/>
      <c r="AC16" s="456"/>
      <c r="AD16" s="456" t="s">
        <v>335</v>
      </c>
      <c r="AE16" s="456" t="s">
        <v>201</v>
      </c>
      <c r="AF16" s="457" t="e">
        <f>ROUND('먼지측정 사전 Data'!R17,2)</f>
        <v>#DIV/0!</v>
      </c>
      <c r="AG16" s="458"/>
    </row>
    <row r="17" spans="1:33" s="437" customFormat="1" ht="18" customHeight="1">
      <c r="A17" s="2330" t="s">
        <v>210</v>
      </c>
      <c r="B17" s="2331" t="s">
        <v>201</v>
      </c>
      <c r="C17" s="2331" t="s">
        <v>861</v>
      </c>
      <c r="D17" s="2331" t="s">
        <v>197</v>
      </c>
      <c r="E17" s="2346">
        <v>273</v>
      </c>
      <c r="F17" s="2346"/>
      <c r="G17" s="2331" t="s">
        <v>197</v>
      </c>
      <c r="H17" s="2346" t="s">
        <v>620</v>
      </c>
      <c r="I17" s="2346"/>
      <c r="N17" s="2348" t="s">
        <v>210</v>
      </c>
      <c r="O17" s="2331" t="s">
        <v>201</v>
      </c>
      <c r="P17" s="2331" t="s">
        <v>198</v>
      </c>
      <c r="Q17" s="2363" t="e">
        <f>AF16</f>
        <v>#DIV/0!</v>
      </c>
      <c r="R17" s="2331" t="s">
        <v>205</v>
      </c>
      <c r="S17" s="2334">
        <v>273</v>
      </c>
      <c r="T17" s="2334"/>
      <c r="U17" s="2334"/>
      <c r="V17" s="2334"/>
      <c r="W17" s="2331" t="s">
        <v>197</v>
      </c>
      <c r="X17" s="459" t="s">
        <v>198</v>
      </c>
      <c r="Y17" s="460">
        <f>'먼지측정 사전 Data'!H20</f>
        <v>0</v>
      </c>
      <c r="Z17" s="459" t="s">
        <v>206</v>
      </c>
      <c r="AA17" s="2326" t="e">
        <f>'먼지측정 사전 Data'!U71</f>
        <v>#DIV/0!</v>
      </c>
      <c r="AB17" s="2326"/>
      <c r="AC17" s="459" t="s">
        <v>199</v>
      </c>
      <c r="AD17" s="441"/>
      <c r="AG17" s="439"/>
    </row>
    <row r="18" spans="1:33" s="437" customFormat="1" ht="24" customHeight="1">
      <c r="A18" s="2355"/>
      <c r="B18" s="2346"/>
      <c r="C18" s="2346"/>
      <c r="D18" s="2346"/>
      <c r="E18" s="2346" t="s">
        <v>211</v>
      </c>
      <c r="F18" s="2346"/>
      <c r="G18" s="2346"/>
      <c r="H18" s="2361">
        <v>760</v>
      </c>
      <c r="I18" s="2361"/>
      <c r="J18" s="459"/>
      <c r="K18" s="459"/>
      <c r="L18" s="459"/>
      <c r="M18" s="459"/>
      <c r="N18" s="2349"/>
      <c r="O18" s="2346"/>
      <c r="P18" s="2346"/>
      <c r="Q18" s="2346"/>
      <c r="R18" s="2346"/>
      <c r="S18" s="2362" t="s">
        <v>208</v>
      </c>
      <c r="T18" s="2362"/>
      <c r="U18" s="461" t="e">
        <f>'먼지측정 사전 Data'!R69</f>
        <v>#DIV/0!</v>
      </c>
      <c r="V18" s="462" t="s">
        <v>199</v>
      </c>
      <c r="W18" s="2346"/>
      <c r="X18" s="2361">
        <v>760</v>
      </c>
      <c r="Y18" s="2361"/>
      <c r="Z18" s="2361"/>
      <c r="AA18" s="2361"/>
      <c r="AB18" s="2361"/>
      <c r="AC18" s="2361"/>
      <c r="AD18" s="463"/>
      <c r="AE18" s="459"/>
      <c r="AF18" s="459"/>
      <c r="AG18" s="464"/>
    </row>
    <row r="19" spans="1:33" s="437" customFormat="1" ht="18" customHeight="1">
      <c r="A19" s="2335" t="s">
        <v>212</v>
      </c>
      <c r="B19" s="2336"/>
      <c r="C19" s="2336"/>
      <c r="D19" s="2336"/>
      <c r="E19" s="2336"/>
      <c r="F19" s="2336"/>
      <c r="N19" s="2348" t="s">
        <v>213</v>
      </c>
      <c r="O19" s="2331"/>
      <c r="P19" s="2331"/>
      <c r="Q19" s="2331"/>
      <c r="R19" s="437" t="s">
        <v>201</v>
      </c>
      <c r="S19" s="2360" t="e">
        <f>ROUND(Q20*SQRT(2*9.81*Z20/V21),3)</f>
        <v>#DIV/0!</v>
      </c>
      <c r="T19" s="2360"/>
      <c r="U19" s="2360"/>
      <c r="V19" s="2331" t="s">
        <v>214</v>
      </c>
      <c r="W19" s="2331"/>
      <c r="AG19" s="439"/>
    </row>
    <row r="20" spans="1:33" s="437" customFormat="1" ht="18" customHeight="1">
      <c r="A20" s="2330" t="s">
        <v>215</v>
      </c>
      <c r="B20" s="2331" t="s">
        <v>201</v>
      </c>
      <c r="C20" s="437" t="s">
        <v>216</v>
      </c>
      <c r="D20" s="437" t="s">
        <v>198</v>
      </c>
      <c r="E20" s="2346" t="s">
        <v>217</v>
      </c>
      <c r="F20" s="2346"/>
      <c r="G20" s="437" t="s">
        <v>199</v>
      </c>
      <c r="N20" s="2348" t="s">
        <v>215</v>
      </c>
      <c r="O20" s="2331" t="s">
        <v>201</v>
      </c>
      <c r="P20" s="2331" t="s">
        <v>198</v>
      </c>
      <c r="Q20" s="2356">
        <f>'먼지측정 사전 Data'!H65</f>
        <v>0</v>
      </c>
      <c r="R20" s="2356"/>
      <c r="S20" s="2331" t="s">
        <v>205</v>
      </c>
      <c r="U20" s="459" t="s">
        <v>218</v>
      </c>
      <c r="V20" s="2346">
        <v>9.81</v>
      </c>
      <c r="W20" s="2346"/>
      <c r="X20" s="459" t="s">
        <v>197</v>
      </c>
      <c r="Y20" s="463" t="s">
        <v>198</v>
      </c>
      <c r="Z20" s="2358" t="e">
        <f>'먼지측정 사전 Data'!R70</f>
        <v>#DIV/0!</v>
      </c>
      <c r="AA20" s="2358"/>
      <c r="AB20" s="459" t="s">
        <v>199</v>
      </c>
      <c r="AG20" s="439"/>
    </row>
    <row r="21" spans="1:33" s="437" customFormat="1" ht="24" customHeight="1">
      <c r="A21" s="2355"/>
      <c r="B21" s="2346"/>
      <c r="C21" s="459"/>
      <c r="D21" s="459"/>
      <c r="E21" s="2346" t="s">
        <v>210</v>
      </c>
      <c r="F21" s="2346"/>
      <c r="G21" s="459"/>
      <c r="H21" s="459"/>
      <c r="I21" s="459"/>
      <c r="J21" s="459"/>
      <c r="K21" s="459"/>
      <c r="L21" s="459"/>
      <c r="M21" s="459"/>
      <c r="N21" s="2349"/>
      <c r="O21" s="2346"/>
      <c r="P21" s="2346"/>
      <c r="Q21" s="2357"/>
      <c r="R21" s="2357"/>
      <c r="S21" s="2346"/>
      <c r="T21" s="463"/>
      <c r="U21" s="465" t="s">
        <v>198</v>
      </c>
      <c r="V21" s="2359" t="e">
        <f>S16</f>
        <v>#DIV/0!</v>
      </c>
      <c r="W21" s="2359"/>
      <c r="X21" s="2359"/>
      <c r="Y21" s="2359"/>
      <c r="Z21" s="463" t="s">
        <v>199</v>
      </c>
      <c r="AA21" s="459"/>
      <c r="AB21" s="459"/>
      <c r="AC21" s="459"/>
      <c r="AD21" s="459"/>
      <c r="AE21" s="459"/>
      <c r="AF21" s="459"/>
      <c r="AG21" s="464"/>
    </row>
    <row r="22" spans="1:33" s="437" customFormat="1" ht="18" customHeight="1">
      <c r="A22" s="2335" t="s">
        <v>219</v>
      </c>
      <c r="B22" s="2336"/>
      <c r="C22" s="2336"/>
      <c r="D22" s="2336"/>
      <c r="E22" s="2336"/>
      <c r="F22" s="2336"/>
      <c r="G22" s="2336"/>
      <c r="H22" s="2336"/>
      <c r="I22" s="2336"/>
      <c r="J22" s="2336"/>
      <c r="K22" s="2336"/>
      <c r="L22" s="2336"/>
      <c r="N22" s="2353" t="s">
        <v>220</v>
      </c>
      <c r="O22" s="2336"/>
      <c r="P22" s="2336"/>
      <c r="Q22" s="2336"/>
      <c r="R22" s="2336"/>
      <c r="S22" s="2336"/>
      <c r="T22" s="2336"/>
      <c r="U22" s="2336"/>
      <c r="V22" s="2336"/>
      <c r="W22" s="2336"/>
      <c r="X22" s="2336"/>
      <c r="Y22" s="437" t="s">
        <v>201</v>
      </c>
      <c r="Z22" s="2354" t="str">
        <f>IF(COUNT('먼지측정 사전 Data'!H72)=0,"",ROUND(Q23*(V23/(100-W24))*18/22.4,2))</f>
        <v/>
      </c>
      <c r="AA22" s="2354"/>
      <c r="AB22" s="2354"/>
      <c r="AD22" s="437" t="s">
        <v>221</v>
      </c>
      <c r="AG22" s="439"/>
    </row>
    <row r="23" spans="1:33" s="437" customFormat="1" ht="18" customHeight="1">
      <c r="A23" s="2330" t="s">
        <v>222</v>
      </c>
      <c r="B23" s="2331"/>
      <c r="C23" s="2331" t="s">
        <v>223</v>
      </c>
      <c r="D23" s="2331" t="s">
        <v>197</v>
      </c>
      <c r="E23" s="2331" t="s">
        <v>224</v>
      </c>
      <c r="F23" s="2346" t="s">
        <v>200</v>
      </c>
      <c r="G23" s="2346"/>
      <c r="H23" s="2346"/>
      <c r="I23" s="2331" t="s">
        <v>205</v>
      </c>
      <c r="J23" s="2346">
        <v>18</v>
      </c>
      <c r="K23" s="2346"/>
      <c r="N23" s="2348" t="s">
        <v>225</v>
      </c>
      <c r="O23" s="2331" t="s">
        <v>201</v>
      </c>
      <c r="P23" s="2331" t="s">
        <v>198</v>
      </c>
      <c r="Q23" s="2350" t="str">
        <f>IF(COUNT('먼지측정 사전 Data'!H72)=0,"",'먼지측정 사전 Data'!R80*1000)</f>
        <v/>
      </c>
      <c r="R23" s="2350"/>
      <c r="S23" s="2319" t="s">
        <v>226</v>
      </c>
      <c r="T23" s="2331" t="s">
        <v>198</v>
      </c>
      <c r="U23" s="465" t="s">
        <v>198</v>
      </c>
      <c r="V23" s="2326" t="str">
        <f>IF(COUNT('먼지측정 사전 Data'!H72)=0,"",Q11)</f>
        <v/>
      </c>
      <c r="W23" s="2326"/>
      <c r="X23" s="2326"/>
      <c r="Y23" s="466" t="s">
        <v>199</v>
      </c>
      <c r="Z23" s="2331" t="s">
        <v>205</v>
      </c>
      <c r="AA23" s="2346">
        <v>18</v>
      </c>
      <c r="AB23" s="2346"/>
      <c r="AG23" s="439"/>
    </row>
    <row r="24" spans="1:33" s="437" customFormat="1" ht="24" customHeight="1">
      <c r="A24" s="2355"/>
      <c r="B24" s="2346"/>
      <c r="C24" s="2346"/>
      <c r="D24" s="2346"/>
      <c r="E24" s="2346"/>
      <c r="F24" s="2346" t="s">
        <v>227</v>
      </c>
      <c r="G24" s="2346"/>
      <c r="H24" s="2346"/>
      <c r="I24" s="2346"/>
      <c r="J24" s="2346">
        <v>22.4</v>
      </c>
      <c r="K24" s="2346"/>
      <c r="L24" s="459"/>
      <c r="M24" s="459"/>
      <c r="N24" s="2349"/>
      <c r="O24" s="2346"/>
      <c r="P24" s="2346"/>
      <c r="Q24" s="2351"/>
      <c r="R24" s="2351"/>
      <c r="S24" s="2334"/>
      <c r="T24" s="2346"/>
      <c r="U24" s="459" t="s">
        <v>228</v>
      </c>
      <c r="V24" s="459" t="s">
        <v>198</v>
      </c>
      <c r="W24" s="2347" t="str">
        <f>IF(COUNT('먼지측정 사전 Data'!H72)=0,"",Q11)</f>
        <v/>
      </c>
      <c r="X24" s="2347"/>
      <c r="Y24" s="459" t="s">
        <v>199</v>
      </c>
      <c r="Z24" s="2346"/>
      <c r="AA24" s="2346">
        <v>22.4</v>
      </c>
      <c r="AB24" s="2346"/>
      <c r="AC24" s="459"/>
      <c r="AD24" s="459"/>
      <c r="AE24" s="459"/>
      <c r="AF24" s="459"/>
      <c r="AG24" s="464"/>
    </row>
    <row r="25" spans="1:33" s="437" customFormat="1" ht="18" customHeight="1">
      <c r="A25" s="2335" t="s">
        <v>229</v>
      </c>
      <c r="B25" s="2336"/>
      <c r="C25" s="2336"/>
      <c r="D25" s="2336"/>
      <c r="E25" s="2336"/>
      <c r="F25" s="2336"/>
      <c r="G25" s="2336"/>
      <c r="H25" s="2336"/>
      <c r="I25" s="2336"/>
      <c r="J25" s="2336"/>
      <c r="M25" s="456"/>
      <c r="AG25" s="439"/>
    </row>
    <row r="26" spans="1:33" s="437" customFormat="1" ht="18" customHeight="1">
      <c r="A26" s="2337" t="s">
        <v>230</v>
      </c>
      <c r="B26" s="2338"/>
      <c r="C26" s="2331" t="s">
        <v>201</v>
      </c>
      <c r="D26" s="2342" t="s">
        <v>231</v>
      </c>
      <c r="E26" s="2342"/>
      <c r="F26" s="2342"/>
      <c r="G26" s="2342"/>
      <c r="H26" s="2342"/>
      <c r="I26" s="2342"/>
      <c r="J26" s="2342"/>
      <c r="K26" s="2342"/>
      <c r="L26" s="2342"/>
      <c r="M26" s="2342"/>
      <c r="N26" s="2342"/>
      <c r="O26" s="2342"/>
      <c r="P26" s="2342"/>
      <c r="Q26" s="2319" t="s">
        <v>232</v>
      </c>
      <c r="R26" s="2344" t="s">
        <v>862</v>
      </c>
      <c r="S26" s="2344"/>
      <c r="T26" s="2344"/>
      <c r="U26" s="2344"/>
      <c r="V26" s="2319" t="s">
        <v>199</v>
      </c>
      <c r="AG26" s="439"/>
    </row>
    <row r="27" spans="1:33" s="437" customFormat="1" ht="18" customHeight="1">
      <c r="A27" s="2339"/>
      <c r="B27" s="2340"/>
      <c r="C27" s="2341"/>
      <c r="D27" s="467"/>
      <c r="E27" s="2352" t="s">
        <v>621</v>
      </c>
      <c r="F27" s="2352"/>
      <c r="G27" s="2352"/>
      <c r="H27" s="2352"/>
      <c r="I27" s="2352"/>
      <c r="J27" s="2352"/>
      <c r="K27" s="2352"/>
      <c r="L27" s="2352"/>
      <c r="M27" s="2352"/>
      <c r="N27" s="2352"/>
      <c r="O27" s="2352"/>
      <c r="P27" s="467"/>
      <c r="Q27" s="2343"/>
      <c r="R27" s="2345"/>
      <c r="S27" s="2345"/>
      <c r="T27" s="2345"/>
      <c r="U27" s="2345"/>
      <c r="V27" s="2343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9"/>
    </row>
    <row r="28" spans="1:33" s="437" customFormat="1" ht="18" customHeight="1">
      <c r="A28" s="2327" t="s">
        <v>233</v>
      </c>
      <c r="B28" s="2328"/>
      <c r="C28" s="2328"/>
      <c r="D28" s="2328"/>
      <c r="E28" s="2328"/>
      <c r="F28" s="2328"/>
      <c r="G28" s="2328"/>
      <c r="H28" s="2328"/>
      <c r="I28" s="2329" t="str">
        <f>IF(COUNT('먼지측정 사전 Data'!H72)=0,"",ROUND(E29*(0.00346*J29+M29/Q29*(T29+X29/13.6))*(1.667*10^4)/(H30*M30*R30*V30),1))</f>
        <v/>
      </c>
      <c r="J28" s="2329"/>
      <c r="K28" s="2329"/>
      <c r="L28" s="2329"/>
      <c r="M28" s="2328" t="s">
        <v>194</v>
      </c>
      <c r="N28" s="2328"/>
      <c r="AG28" s="439"/>
    </row>
    <row r="29" spans="1:33" s="437" customFormat="1" ht="18" customHeight="1">
      <c r="A29" s="2330" t="s">
        <v>230</v>
      </c>
      <c r="B29" s="2331"/>
      <c r="C29" s="2331" t="s">
        <v>201</v>
      </c>
      <c r="D29" s="462" t="s">
        <v>198</v>
      </c>
      <c r="E29" s="2325" t="str">
        <f>IF(COUNT('먼지측정 사전 Data'!H72)=0,"",ROUND(273+'먼지측정 사전 Data'!R69,2))</f>
        <v/>
      </c>
      <c r="F29" s="2325"/>
      <c r="G29" s="462" t="s">
        <v>234</v>
      </c>
      <c r="H29" s="2334" t="s">
        <v>235</v>
      </c>
      <c r="I29" s="2334"/>
      <c r="J29" s="2326" t="str">
        <f>IF(COUNT('먼지측정 사전 Data'!H72)=0,"",Z22)</f>
        <v/>
      </c>
      <c r="K29" s="2334"/>
      <c r="L29" s="462" t="s">
        <v>236</v>
      </c>
      <c r="M29" s="2324" t="str">
        <f>IF(COUNT('먼지측정 사전 Data'!H72)=0,"",'먼지측정 사전 Data'!R80)</f>
        <v/>
      </c>
      <c r="N29" s="2324"/>
      <c r="O29" s="470" t="s">
        <v>237</v>
      </c>
      <c r="P29" s="462" t="s">
        <v>238</v>
      </c>
      <c r="Q29" s="2325" t="str">
        <f>IF(COUNT('먼지측정 사전 Data'!H72)=0,"",ROUND(273+'먼지측정 사전 Data'!R74,2))</f>
        <v/>
      </c>
      <c r="R29" s="2325"/>
      <c r="S29" s="454" t="s">
        <v>239</v>
      </c>
      <c r="T29" s="2325" t="str">
        <f>IF(COUNT('먼지측정 사전 Data'!H72)=0,"",'먼지측정 사전 Data'!H20)</f>
        <v/>
      </c>
      <c r="U29" s="2325"/>
      <c r="V29" s="454" t="s">
        <v>199</v>
      </c>
      <c r="W29" s="471" t="s">
        <v>240</v>
      </c>
      <c r="X29" s="2326" t="str">
        <f>IF(COUNT('먼지측정 사전 Data'!H72)=0,"",'먼지측정 사전 Data'!R86)</f>
        <v/>
      </c>
      <c r="Y29" s="2326"/>
      <c r="Z29" s="454" t="s">
        <v>241</v>
      </c>
      <c r="AA29" s="454" t="s">
        <v>242</v>
      </c>
      <c r="AB29" s="454" t="s">
        <v>243</v>
      </c>
      <c r="AC29" s="2319" t="s">
        <v>197</v>
      </c>
      <c r="AD29" s="2319" t="s">
        <v>244</v>
      </c>
      <c r="AE29" s="2319" t="s">
        <v>197</v>
      </c>
      <c r="AF29" s="2319" t="s">
        <v>863</v>
      </c>
      <c r="AG29" s="439"/>
    </row>
    <row r="30" spans="1:33" s="437" customFormat="1" ht="36" customHeight="1" thickBot="1">
      <c r="A30" s="2332"/>
      <c r="B30" s="2333"/>
      <c r="C30" s="2333"/>
      <c r="D30" s="472"/>
      <c r="E30" s="472"/>
      <c r="F30" s="472"/>
      <c r="G30" s="472" t="s">
        <v>198</v>
      </c>
      <c r="H30" s="2321" t="str">
        <f>IF(COUNT('먼지측정 사전 Data'!H72)=0,"",ROUND('먼지측정 사전 Data'!U71+'먼지측정 사전 Data'!H20,2))</f>
        <v/>
      </c>
      <c r="I30" s="2321"/>
      <c r="J30" s="472" t="s">
        <v>199</v>
      </c>
      <c r="K30" s="472" t="s">
        <v>197</v>
      </c>
      <c r="L30" s="472" t="s">
        <v>198</v>
      </c>
      <c r="M30" s="2322" t="str">
        <f>IF(COUNT('먼지측정 사전 Data'!H72)=0,"",'먼지측정 사전 Data'!R75)</f>
        <v/>
      </c>
      <c r="N30" s="2322"/>
      <c r="O30" s="472" t="s">
        <v>199</v>
      </c>
      <c r="P30" s="472" t="s">
        <v>197</v>
      </c>
      <c r="Q30" s="472" t="s">
        <v>198</v>
      </c>
      <c r="R30" s="2323" t="str">
        <f>IF(COUNT('먼지측정 사전 Data'!H72)=0,"",'먼지측정 사전 Data'!R82)</f>
        <v/>
      </c>
      <c r="S30" s="2323"/>
      <c r="T30" s="472" t="s">
        <v>205</v>
      </c>
      <c r="U30" s="472" t="s">
        <v>198</v>
      </c>
      <c r="V30" s="2323" t="str">
        <f>IF(COUNT('먼지측정 사전 Data'!H72)=0,"",'먼지측정 사전 Data'!U84)</f>
        <v/>
      </c>
      <c r="W30" s="2323"/>
      <c r="X30" s="2323"/>
      <c r="Y30" s="472" t="s">
        <v>199</v>
      </c>
      <c r="Z30" s="472"/>
      <c r="AA30" s="472"/>
      <c r="AB30" s="472"/>
      <c r="AC30" s="2320"/>
      <c r="AD30" s="2320"/>
      <c r="AE30" s="2320"/>
      <c r="AF30" s="2320"/>
      <c r="AG30" s="473"/>
    </row>
    <row r="31" spans="1:33" s="437" customFormat="1" ht="23.25" customHeight="1">
      <c r="A31" s="474" t="s">
        <v>245</v>
      </c>
      <c r="B31" s="441"/>
      <c r="C31" s="441" t="s">
        <v>246</v>
      </c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 t="s">
        <v>247</v>
      </c>
      <c r="T31" s="441"/>
      <c r="U31" s="441" t="s">
        <v>248</v>
      </c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55"/>
    </row>
    <row r="32" spans="1:33" s="437" customFormat="1" ht="18" customHeight="1">
      <c r="A32" s="474" t="s">
        <v>249</v>
      </c>
      <c r="B32" s="441"/>
      <c r="C32" s="441" t="s">
        <v>250</v>
      </c>
      <c r="D32" s="441"/>
      <c r="E32" s="441"/>
      <c r="F32" s="441"/>
      <c r="G32" s="441"/>
      <c r="H32" s="441"/>
      <c r="I32" s="441"/>
      <c r="J32" s="441"/>
      <c r="K32" s="441"/>
      <c r="L32" s="441"/>
      <c r="M32" s="441"/>
      <c r="N32" s="441"/>
      <c r="O32" s="441"/>
      <c r="P32" s="441"/>
      <c r="Q32" s="441"/>
      <c r="R32" s="441"/>
      <c r="S32" s="441" t="s">
        <v>251</v>
      </c>
      <c r="T32" s="441"/>
      <c r="U32" s="441" t="s">
        <v>252</v>
      </c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55"/>
    </row>
    <row r="33" spans="1:33" s="437" customFormat="1" ht="18" customHeight="1">
      <c r="A33" s="475" t="s">
        <v>253</v>
      </c>
      <c r="B33" s="476"/>
      <c r="C33" s="476" t="s">
        <v>254</v>
      </c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6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7"/>
    </row>
    <row r="34" spans="1:33" s="437" customFormat="1" ht="18" customHeight="1">
      <c r="A34" s="474" t="s">
        <v>864</v>
      </c>
      <c r="B34" s="441"/>
      <c r="C34" s="441" t="s">
        <v>865</v>
      </c>
      <c r="D34" s="441"/>
      <c r="E34" s="441"/>
      <c r="F34" s="441"/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  <c r="S34" s="441" t="s">
        <v>251</v>
      </c>
      <c r="T34" s="441"/>
      <c r="U34" s="441" t="s">
        <v>255</v>
      </c>
      <c r="V34" s="441"/>
      <c r="W34" s="441"/>
      <c r="X34" s="441"/>
      <c r="Y34" s="441"/>
      <c r="Z34" s="441" t="s">
        <v>256</v>
      </c>
      <c r="AA34" s="441" t="s">
        <v>257</v>
      </c>
      <c r="AB34" s="441"/>
      <c r="AC34" s="441"/>
      <c r="AD34" s="441"/>
      <c r="AE34" s="441"/>
      <c r="AF34" s="441"/>
      <c r="AG34" s="455"/>
    </row>
    <row r="35" spans="1:33" s="437" customFormat="1" ht="18" customHeight="1">
      <c r="A35" s="475" t="s">
        <v>279</v>
      </c>
      <c r="B35" s="476"/>
      <c r="C35" s="476" t="s">
        <v>259</v>
      </c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6"/>
      <c r="O35" s="476"/>
      <c r="P35" s="476"/>
      <c r="Q35" s="476"/>
      <c r="R35" s="476"/>
      <c r="S35" s="476" t="s">
        <v>260</v>
      </c>
      <c r="T35" s="476"/>
      <c r="U35" s="476" t="s">
        <v>261</v>
      </c>
      <c r="V35" s="476"/>
      <c r="W35" s="476"/>
      <c r="X35" s="476"/>
      <c r="Y35" s="476"/>
      <c r="Z35" s="476"/>
      <c r="AA35" s="476"/>
      <c r="AB35" s="476"/>
      <c r="AC35" s="476"/>
      <c r="AD35" s="476"/>
      <c r="AE35" s="476"/>
      <c r="AF35" s="476"/>
      <c r="AG35" s="477"/>
    </row>
    <row r="36" spans="1:33" s="437" customFormat="1" ht="18" customHeight="1">
      <c r="A36" s="478" t="s">
        <v>262</v>
      </c>
      <c r="B36" s="479"/>
      <c r="C36" s="479" t="s">
        <v>866</v>
      </c>
      <c r="D36" s="479"/>
      <c r="E36" s="479"/>
      <c r="F36" s="479"/>
      <c r="G36" s="479"/>
      <c r="H36" s="479"/>
      <c r="I36" s="479"/>
      <c r="J36" s="479"/>
      <c r="K36" s="479" t="s">
        <v>263</v>
      </c>
      <c r="L36" s="479" t="s">
        <v>867</v>
      </c>
      <c r="M36" s="479"/>
      <c r="N36" s="479"/>
      <c r="O36" s="479"/>
      <c r="P36" s="479"/>
      <c r="Q36" s="479"/>
      <c r="R36" s="479"/>
      <c r="S36" s="479"/>
      <c r="T36" s="479"/>
      <c r="U36" s="479"/>
      <c r="V36" s="479"/>
      <c r="W36" s="479" t="s">
        <v>264</v>
      </c>
      <c r="X36" s="479" t="s">
        <v>868</v>
      </c>
      <c r="Y36" s="479"/>
      <c r="Z36" s="479"/>
      <c r="AA36" s="479"/>
      <c r="AB36" s="479"/>
      <c r="AC36" s="479"/>
      <c r="AD36" s="479"/>
      <c r="AE36" s="479"/>
      <c r="AF36" s="479"/>
      <c r="AG36" s="480"/>
    </row>
    <row r="37" spans="1:33" s="437" customFormat="1" ht="18" customHeight="1">
      <c r="A37" s="478" t="s">
        <v>265</v>
      </c>
      <c r="B37" s="479"/>
      <c r="C37" s="479" t="s">
        <v>266</v>
      </c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 t="s">
        <v>267</v>
      </c>
      <c r="T37" s="479"/>
      <c r="U37" s="479" t="s">
        <v>268</v>
      </c>
      <c r="V37" s="479"/>
      <c r="W37" s="479"/>
      <c r="X37" s="479"/>
      <c r="Y37" s="479"/>
      <c r="Z37" s="479"/>
      <c r="AA37" s="479"/>
      <c r="AB37" s="479"/>
      <c r="AC37" s="479"/>
      <c r="AD37" s="479"/>
      <c r="AE37" s="479"/>
      <c r="AF37" s="479"/>
      <c r="AG37" s="480"/>
    </row>
    <row r="38" spans="1:33" s="437" customFormat="1" ht="18" customHeight="1">
      <c r="A38" s="474" t="s">
        <v>269</v>
      </c>
      <c r="B38" s="441"/>
      <c r="C38" s="441" t="s">
        <v>270</v>
      </c>
      <c r="D38" s="441"/>
      <c r="E38" s="441"/>
      <c r="F38" s="441"/>
      <c r="G38" s="441"/>
      <c r="H38" s="441"/>
      <c r="I38" s="441"/>
      <c r="J38" s="441"/>
      <c r="K38" s="441"/>
      <c r="L38" s="441"/>
      <c r="M38" s="441"/>
      <c r="N38" s="441"/>
      <c r="O38" s="441"/>
      <c r="P38" s="441"/>
      <c r="Q38" s="441"/>
      <c r="R38" s="441"/>
      <c r="S38" s="441" t="s">
        <v>271</v>
      </c>
      <c r="T38" s="441"/>
      <c r="U38" s="441" t="s">
        <v>272</v>
      </c>
      <c r="V38" s="441"/>
      <c r="W38" s="441"/>
      <c r="X38" s="441"/>
      <c r="Y38" s="441"/>
      <c r="Z38" s="441"/>
      <c r="AA38" s="441"/>
      <c r="AB38" s="441"/>
      <c r="AC38" s="441"/>
      <c r="AD38" s="441"/>
      <c r="AE38" s="441"/>
      <c r="AF38" s="441"/>
      <c r="AG38" s="455"/>
    </row>
    <row r="39" spans="1:33" s="437" customFormat="1" ht="18" customHeight="1">
      <c r="A39" s="474" t="s">
        <v>273</v>
      </c>
      <c r="B39" s="441"/>
      <c r="C39" s="441" t="s">
        <v>869</v>
      </c>
      <c r="D39" s="441"/>
      <c r="E39" s="441"/>
      <c r="F39" s="441"/>
      <c r="G39" s="441"/>
      <c r="H39" s="441"/>
      <c r="I39" s="441"/>
      <c r="J39" s="441"/>
      <c r="K39" s="441"/>
      <c r="L39" s="441"/>
      <c r="M39" s="441"/>
      <c r="N39" s="441"/>
      <c r="O39" s="441"/>
      <c r="P39" s="441"/>
      <c r="Q39" s="441"/>
      <c r="R39" s="441"/>
      <c r="S39" s="441" t="s">
        <v>274</v>
      </c>
      <c r="T39" s="441"/>
      <c r="U39" s="441" t="s">
        <v>275</v>
      </c>
      <c r="V39" s="441"/>
      <c r="W39" s="441"/>
      <c r="X39" s="441"/>
      <c r="Y39" s="441"/>
      <c r="Z39" s="441"/>
      <c r="AA39" s="441"/>
      <c r="AB39" s="441"/>
      <c r="AC39" s="441"/>
      <c r="AD39" s="441"/>
      <c r="AE39" s="441"/>
      <c r="AF39" s="441"/>
      <c r="AG39" s="455"/>
    </row>
    <row r="40" spans="1:33" s="437" customFormat="1" ht="18" customHeight="1">
      <c r="A40" s="474" t="s">
        <v>251</v>
      </c>
      <c r="B40" s="441"/>
      <c r="C40" s="441" t="s">
        <v>252</v>
      </c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 t="s">
        <v>276</v>
      </c>
      <c r="O40" s="441" t="s">
        <v>870</v>
      </c>
      <c r="P40" s="441"/>
      <c r="Q40" s="441"/>
      <c r="R40" s="441"/>
      <c r="S40" s="441"/>
      <c r="T40" s="441"/>
      <c r="U40" s="441"/>
      <c r="V40" s="441"/>
      <c r="W40" s="441" t="s">
        <v>277</v>
      </c>
      <c r="X40" s="441" t="s">
        <v>278</v>
      </c>
      <c r="Y40" s="441"/>
      <c r="Z40" s="441"/>
      <c r="AA40" s="441"/>
      <c r="AB40" s="441"/>
      <c r="AC40" s="441"/>
      <c r="AD40" s="441"/>
      <c r="AE40" s="441"/>
      <c r="AF40" s="441"/>
      <c r="AG40" s="455"/>
    </row>
    <row r="41" spans="1:33" s="437" customFormat="1" ht="18" customHeight="1">
      <c r="A41" s="474" t="s">
        <v>258</v>
      </c>
      <c r="B41" s="441"/>
      <c r="C41" s="441" t="s">
        <v>622</v>
      </c>
      <c r="D41" s="441"/>
      <c r="E41" s="441"/>
      <c r="F41" s="441"/>
      <c r="G41" s="441"/>
      <c r="H41" s="441"/>
      <c r="I41" s="441"/>
      <c r="J41" s="441"/>
      <c r="K41" s="441"/>
      <c r="L41" s="441"/>
      <c r="M41" s="441"/>
      <c r="N41" s="441" t="s">
        <v>280</v>
      </c>
      <c r="O41" s="441" t="s">
        <v>871</v>
      </c>
      <c r="P41" s="441"/>
      <c r="Q41" s="441"/>
      <c r="R41" s="441"/>
      <c r="S41" s="441"/>
      <c r="T41" s="441"/>
      <c r="U41" s="441"/>
      <c r="V41" s="441"/>
      <c r="W41" s="441" t="s">
        <v>281</v>
      </c>
      <c r="X41" s="441" t="s">
        <v>282</v>
      </c>
      <c r="Y41" s="441"/>
      <c r="Z41" s="441"/>
      <c r="AA41" s="441"/>
      <c r="AB41" s="441"/>
      <c r="AC41" s="441"/>
      <c r="AD41" s="441"/>
      <c r="AE41" s="441"/>
      <c r="AF41" s="441"/>
      <c r="AG41" s="455"/>
    </row>
    <row r="42" spans="1:33" s="437" customFormat="1" ht="18" customHeight="1">
      <c r="A42" s="474" t="s">
        <v>872</v>
      </c>
      <c r="B42" s="441"/>
      <c r="C42" s="441"/>
      <c r="D42" s="441"/>
      <c r="E42" s="441"/>
      <c r="F42" s="441"/>
      <c r="G42" s="441"/>
      <c r="H42" s="441"/>
      <c r="I42" s="441"/>
      <c r="J42" s="441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  <c r="W42" s="441"/>
      <c r="X42" s="441"/>
      <c r="Y42" s="441"/>
      <c r="Z42" s="441"/>
      <c r="AA42" s="441"/>
      <c r="AB42" s="441"/>
      <c r="AC42" s="441"/>
      <c r="AD42" s="441"/>
      <c r="AE42" s="441"/>
      <c r="AF42" s="441"/>
      <c r="AG42" s="455"/>
    </row>
    <row r="43" spans="1:33" s="437" customFormat="1" ht="18" customHeight="1" thickBot="1">
      <c r="A43" s="481"/>
      <c r="B43" s="482"/>
      <c r="C43" s="482"/>
      <c r="D43" s="482"/>
      <c r="E43" s="482"/>
      <c r="F43" s="482"/>
      <c r="G43" s="482"/>
      <c r="H43" s="482"/>
      <c r="I43" s="482"/>
      <c r="J43" s="482"/>
      <c r="K43" s="482"/>
      <c r="L43" s="482"/>
      <c r="M43" s="482"/>
      <c r="N43" s="482"/>
      <c r="O43" s="482"/>
      <c r="P43" s="482"/>
      <c r="Q43" s="482"/>
      <c r="R43" s="482"/>
      <c r="S43" s="482"/>
      <c r="T43" s="482"/>
      <c r="U43" s="482"/>
      <c r="V43" s="482"/>
      <c r="W43" s="482"/>
      <c r="X43" s="482"/>
      <c r="Y43" s="482"/>
      <c r="Z43" s="482"/>
      <c r="AA43" s="482"/>
      <c r="AB43" s="482"/>
      <c r="AC43" s="482"/>
      <c r="AD43" s="482"/>
      <c r="AE43" s="482"/>
      <c r="AF43" s="482"/>
      <c r="AG43" s="483"/>
    </row>
  </sheetData>
  <mergeCells count="124">
    <mergeCell ref="A3:AG3"/>
    <mergeCell ref="Z1:AC1"/>
    <mergeCell ref="AD1:AF1"/>
    <mergeCell ref="Z2:AC2"/>
    <mergeCell ref="AD2:AF2"/>
    <mergeCell ref="B4:F4"/>
    <mergeCell ref="W4:AA4"/>
    <mergeCell ref="B5:F5"/>
    <mergeCell ref="W5:AA5"/>
    <mergeCell ref="B6:F6"/>
    <mergeCell ref="C13:D14"/>
    <mergeCell ref="E13:E14"/>
    <mergeCell ref="F13:I13"/>
    <mergeCell ref="J13:J14"/>
    <mergeCell ref="B7:F7"/>
    <mergeCell ref="H7:K7"/>
    <mergeCell ref="A10:M10"/>
    <mergeCell ref="N10:AG10"/>
    <mergeCell ref="A11:D11"/>
    <mergeCell ref="Q11:U11"/>
    <mergeCell ref="A17:A18"/>
    <mergeCell ref="B17:B18"/>
    <mergeCell ref="C17:C18"/>
    <mergeCell ref="D17:D18"/>
    <mergeCell ref="E17:F17"/>
    <mergeCell ref="G17:G18"/>
    <mergeCell ref="AD13:AF14"/>
    <mergeCell ref="AG13:AG14"/>
    <mergeCell ref="F14:G14"/>
    <mergeCell ref="Q14:S14"/>
    <mergeCell ref="W14:X14"/>
    <mergeCell ref="A16:E16"/>
    <mergeCell ref="F16:H16"/>
    <mergeCell ref="N16:Q16"/>
    <mergeCell ref="S16:U16"/>
    <mergeCell ref="V16:W16"/>
    <mergeCell ref="K13:L14"/>
    <mergeCell ref="T13:V13"/>
    <mergeCell ref="Z13:Z14"/>
    <mergeCell ref="AA13:AA14"/>
    <mergeCell ref="AB13:AB14"/>
    <mergeCell ref="AC13:AC14"/>
    <mergeCell ref="A13:A14"/>
    <mergeCell ref="B13:B14"/>
    <mergeCell ref="S17:V17"/>
    <mergeCell ref="W17:W18"/>
    <mergeCell ref="AA17:AB17"/>
    <mergeCell ref="E18:F18"/>
    <mergeCell ref="H18:I18"/>
    <mergeCell ref="S18:T18"/>
    <mergeCell ref="X18:AC18"/>
    <mergeCell ref="H17:I17"/>
    <mergeCell ref="N17:N18"/>
    <mergeCell ref="O17:O18"/>
    <mergeCell ref="P17:P18"/>
    <mergeCell ref="Q17:Q18"/>
    <mergeCell ref="R17:R18"/>
    <mergeCell ref="Q20:R21"/>
    <mergeCell ref="S20:S21"/>
    <mergeCell ref="V20:W20"/>
    <mergeCell ref="Z20:AA20"/>
    <mergeCell ref="E21:F21"/>
    <mergeCell ref="V21:Y21"/>
    <mergeCell ref="A19:F19"/>
    <mergeCell ref="N19:Q19"/>
    <mergeCell ref="S19:U19"/>
    <mergeCell ref="V19:W19"/>
    <mergeCell ref="A20:A21"/>
    <mergeCell ref="B20:B21"/>
    <mergeCell ref="E20:F20"/>
    <mergeCell ref="N20:N21"/>
    <mergeCell ref="O20:O21"/>
    <mergeCell ref="P20:P21"/>
    <mergeCell ref="A22:L22"/>
    <mergeCell ref="N22:X22"/>
    <mergeCell ref="Z22:AB22"/>
    <mergeCell ref="A23:B24"/>
    <mergeCell ref="C23:C24"/>
    <mergeCell ref="D23:D24"/>
    <mergeCell ref="E23:E24"/>
    <mergeCell ref="F23:H23"/>
    <mergeCell ref="I23:I24"/>
    <mergeCell ref="J23:K23"/>
    <mergeCell ref="A25:J25"/>
    <mergeCell ref="A26:B27"/>
    <mergeCell ref="C26:C27"/>
    <mergeCell ref="D26:P26"/>
    <mergeCell ref="Q26:Q27"/>
    <mergeCell ref="R26:U27"/>
    <mergeCell ref="V23:X23"/>
    <mergeCell ref="Z23:Z24"/>
    <mergeCell ref="AA23:AB23"/>
    <mergeCell ref="F24:H24"/>
    <mergeCell ref="J24:K24"/>
    <mergeCell ref="W24:X24"/>
    <mergeCell ref="AA24:AB24"/>
    <mergeCell ref="N23:N24"/>
    <mergeCell ref="O23:O24"/>
    <mergeCell ref="P23:P24"/>
    <mergeCell ref="Q23:R24"/>
    <mergeCell ref="S23:S24"/>
    <mergeCell ref="T23:T24"/>
    <mergeCell ref="V26:V27"/>
    <mergeCell ref="E27:O27"/>
    <mergeCell ref="A28:H28"/>
    <mergeCell ref="I28:L28"/>
    <mergeCell ref="M28:N28"/>
    <mergeCell ref="A29:B30"/>
    <mergeCell ref="C29:C30"/>
    <mergeCell ref="E29:F29"/>
    <mergeCell ref="H29:I29"/>
    <mergeCell ref="J29:K29"/>
    <mergeCell ref="AE29:AE30"/>
    <mergeCell ref="AF29:AF30"/>
    <mergeCell ref="H30:I30"/>
    <mergeCell ref="M30:N30"/>
    <mergeCell ref="R30:S30"/>
    <mergeCell ref="V30:X30"/>
    <mergeCell ref="M29:N29"/>
    <mergeCell ref="Q29:R29"/>
    <mergeCell ref="T29:U29"/>
    <mergeCell ref="X29:Y29"/>
    <mergeCell ref="AC29:AC30"/>
    <mergeCell ref="AD29:AD30"/>
  </mergeCells>
  <phoneticPr fontId="2" type="noConversion"/>
  <printOptions horizontalCentered="1"/>
  <pageMargins left="0.31496062992125984" right="0.31496062992125984" top="0.78740157480314965" bottom="0.43307086614173229" header="0.19685039370078741" footer="0.19685039370078741"/>
  <pageSetup paperSize="9" scale="84" orientation="portrait" r:id="rId1"/>
  <headerFooter scaleWithDoc="0">
    <oddHeader>&amp;C
&amp;G</oddHeader>
    <oddFooter>&amp;L&amp;9fKET-QP-18-01(1) &amp;"굴림체,보통"                                            &amp;R한국종합환경산업(주)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54</vt:i4>
      </vt:variant>
    </vt:vector>
  </HeadingPairs>
  <TitlesOfParts>
    <vt:vector size="78" baseType="lpstr">
      <vt:lpstr>포화수증기압 표 </vt:lpstr>
      <vt:lpstr>Nozzle,K Factor</vt:lpstr>
      <vt:lpstr>먼지측정 사전 Data</vt:lpstr>
      <vt:lpstr>피토관,노즐표</vt:lpstr>
      <vt:lpstr>대기측정 분석결과서</vt:lpstr>
      <vt:lpstr>Sheet1</vt:lpstr>
      <vt:lpstr>대기측정기록부</vt:lpstr>
      <vt:lpstr>대기측정기록부(2페이지)</vt:lpstr>
      <vt:lpstr>대기측정기록부(현대차)</vt:lpstr>
      <vt:lpstr>현대차 시설명칭</vt:lpstr>
      <vt:lpstr>한종_시료채취기록지 </vt:lpstr>
      <vt:lpstr>시험일지(계산일지-1)</vt:lpstr>
      <vt:lpstr>시험일지(계산일지-1 포화)</vt:lpstr>
      <vt:lpstr>시험일지(계산일지-2)</vt:lpstr>
      <vt:lpstr>옵티마 시험일지</vt:lpstr>
      <vt:lpstr>한종_측정기록부 (사용X)</vt:lpstr>
      <vt:lpstr>한종_측정기록부(보일러)사용X</vt:lpstr>
      <vt:lpstr>한종_시료채취기록지 (사용X)</vt:lpstr>
      <vt:lpstr>먼지 시료 채취 기록지 (2) (사용 X)</vt:lpstr>
      <vt:lpstr>THC 시험일지</vt:lpstr>
      <vt:lpstr>먼지 시험일지</vt:lpstr>
      <vt:lpstr>(구)계산일지1 사용X</vt:lpstr>
      <vt:lpstr>(구)계산일지2 사용X</vt:lpstr>
      <vt:lpstr>(구)계산일지1(포화) 사용X</vt:lpstr>
      <vt:lpstr>Aa01_</vt:lpstr>
      <vt:lpstr>Aa02_03_04</vt:lpstr>
      <vt:lpstr>Aa05_06</vt:lpstr>
      <vt:lpstr>Aa07_</vt:lpstr>
      <vt:lpstr>PM10_</vt:lpstr>
      <vt:lpstr>PM2.5_</vt:lpstr>
      <vt:lpstr>'(구)계산일지1 사용X'!Print_Area</vt:lpstr>
      <vt:lpstr>'(구)계산일지1(포화) 사용X'!Print_Area</vt:lpstr>
      <vt:lpstr>'(구)계산일지2 사용X'!Print_Area</vt:lpstr>
      <vt:lpstr>'THC 시험일지'!Print_Area</vt:lpstr>
      <vt:lpstr>'대기측정 분석결과서'!Print_Area</vt:lpstr>
      <vt:lpstr>대기측정기록부!Print_Area</vt:lpstr>
      <vt:lpstr>'대기측정기록부(2페이지)'!Print_Area</vt:lpstr>
      <vt:lpstr>'대기측정기록부(현대차)'!Print_Area</vt:lpstr>
      <vt:lpstr>'먼지 시험일지'!Print_Area</vt:lpstr>
      <vt:lpstr>'먼지측정 사전 Data'!Print_Area</vt:lpstr>
      <vt:lpstr>'시험일지(계산일지-1 포화)'!Print_Area</vt:lpstr>
      <vt:lpstr>'시험일지(계산일지-1)'!Print_Area</vt:lpstr>
      <vt:lpstr>'시험일지(계산일지-2)'!Print_Area</vt:lpstr>
      <vt:lpstr>'옵티마 시험일지'!Print_Area</vt:lpstr>
      <vt:lpstr>'한종_시료채취기록지 '!Print_Area</vt:lpstr>
      <vt:lpstr>'한종_시료채취기록지 (사용X)'!Print_Area</vt:lpstr>
      <vt:lpstr>'한종_측정기록부 (사용X)'!Print_Area</vt:lpstr>
      <vt:lpstr>'한종_측정기록부(보일러)사용X'!Print_Area</vt:lpstr>
      <vt:lpstr>가스상시간</vt:lpstr>
      <vt:lpstr>가스상항목</vt:lpstr>
      <vt:lpstr>가스상항목시간</vt:lpstr>
      <vt:lpstr>기기번호</vt:lpstr>
      <vt:lpstr>기술인력들</vt:lpstr>
      <vt:lpstr>노즐목록</vt:lpstr>
      <vt:lpstr>'한종_시료채취기록지 '!누출검사</vt:lpstr>
      <vt:lpstr>누출검사</vt:lpstr>
      <vt:lpstr>'한종_시료채취기록지 '!누출검사단위</vt:lpstr>
      <vt:lpstr>누출검사단위</vt:lpstr>
      <vt:lpstr>단위</vt:lpstr>
      <vt:lpstr>먼지_중금속</vt:lpstr>
      <vt:lpstr>미세먼지</vt:lpstr>
      <vt:lpstr>수은_1</vt:lpstr>
      <vt:lpstr>수은_2</vt:lpstr>
      <vt:lpstr>수은1팀</vt:lpstr>
      <vt:lpstr>수은2팀</vt:lpstr>
      <vt:lpstr>수은3팀</vt:lpstr>
      <vt:lpstr>수은4팀</vt:lpstr>
      <vt:lpstr>수은피토우관</vt:lpstr>
      <vt:lpstr>'한종_시료채취기록지 '!시료종류</vt:lpstr>
      <vt:lpstr>시료종류</vt:lpstr>
      <vt:lpstr>적합도</vt:lpstr>
      <vt:lpstr>적합여부</vt:lpstr>
      <vt:lpstr>채취자의견</vt:lpstr>
      <vt:lpstr>총탄화수소기계종류</vt:lpstr>
      <vt:lpstr>측정분석방법</vt:lpstr>
      <vt:lpstr>측정항목</vt:lpstr>
      <vt:lpstr>피토관구분</vt:lpstr>
      <vt:lpstr>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민수 강</cp:lastModifiedBy>
  <cp:lastPrinted>2026-02-27T08:19:14Z</cp:lastPrinted>
  <dcterms:created xsi:type="dcterms:W3CDTF">2010-04-16T07:45:14Z</dcterms:created>
  <dcterms:modified xsi:type="dcterms:W3CDTF">2026-04-16T09:07:31Z</dcterms:modified>
</cp:coreProperties>
</file>