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-15" windowWidth="14835" windowHeight="8040" tabRatio="647" activeTab="1"/>
  </bookViews>
  <sheets>
    <sheet name="NOTES" sheetId="10" r:id="rId1"/>
    <sheet name="CY09 Joint Opr Plan" sheetId="13" r:id="rId2"/>
    <sheet name="Actify Budget" sheetId="12" r:id="rId3"/>
    <sheet name="CASH FLOW" sheetId="1" r:id="rId4"/>
    <sheet name="Headcount" sheetId="2" r:id="rId5"/>
    <sheet name="Marketing" sheetId="7" r:id="rId6"/>
    <sheet name="Subscriptions" sheetId="3" r:id="rId7"/>
    <sheet name="ACTIFY" sheetId="11" r:id="rId8"/>
    <sheet name="New Bookings Forecast" sheetId="4" r:id="rId9"/>
    <sheet name="ProForma-2009" sheetId="8" r:id="rId10"/>
    <sheet name="ProForma-5 Year - Not Finished" sheetId="9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1_0__00">[1]Financials!#REF!</definedName>
    <definedName name="_xlnm._FilterDatabase" localSheetId="3" hidden="1">'CASH FLOW'!$U$23:$V$24</definedName>
    <definedName name="_xlnm._FilterDatabase" localSheetId="4" hidden="1">Headcount!$E$4:$F$4</definedName>
    <definedName name="_xlnm._FilterDatabase" localSheetId="5" hidden="1">Marketing!$U$6:$W$6</definedName>
    <definedName name="AR_Collected_Current">[2]Variables!#REF!</definedName>
    <definedName name="AR_Collected_Previous">[2]Variables!#REF!</definedName>
    <definedName name="AR_Consulting_Collected_2QTRs">[2]Variables!#REF!</definedName>
    <definedName name="AR_Consulting_Collected_Current">[2]Variables!#REF!</definedName>
    <definedName name="AR_Consulting_Collected_Previous">[2]Variables!#REF!</definedName>
    <definedName name="CaseName">[3]Assumptions!#REF!</definedName>
    <definedName name="CRAP" hidden="1">{"Expenses_RandD",#N/A,TRUE,"Expenses";"Expenses_Marketing",#N/A,TRUE,"Expenses";"Expenses_Sales",#N/A,TRUE,"Expenses";"Expenses_CGS",#N/A,TRUE,"Expenses";"Expenses_GandA",#N/A,TRUE,"Expenses"}</definedName>
    <definedName name="crap2" hidden="1">{"Y_BS",#N/A,FALSE,"Financials";"Y_IS",#N/A,FALSE,"Financials";"Y_CF",#N/A,FALSE,"Financials"}</definedName>
    <definedName name="crap3" hidden="1">{"M_IS01",#N/A,FALSE,"Financials";"M_BS01",#N/A,FALSE,"Financials";"M_IS01",#N/A,FALSE,"Financials"}</definedName>
    <definedName name="crap4" hidden="1">{"Qt_IS01",#N/A,FALSE,"QtrFinancials";"Qt_BS01",#N/A,FALSE,"QtrFinancials";"Qt_CF01",#N/A,FALSE,"QtrFinancials"}</definedName>
    <definedName name="Fund">[3]Assumptions!#REF!</definedName>
    <definedName name="New_SR_1Q">[2]Variables!$B$3</definedName>
    <definedName name="New_SR_2Q">[2]Variables!$B$4</definedName>
    <definedName name="New_SR_3Q">[2]Variables!$B$5</definedName>
    <definedName name="_xlnm.Print_Area" localSheetId="3">'CASH FLOW'!$A$1:$O$57</definedName>
    <definedName name="_xlnm.Print_Area" localSheetId="4">Headcount!$B$1:$P$67</definedName>
    <definedName name="_xlnm.Print_Area" localSheetId="5">Marketing!$A$1:$L$25</definedName>
    <definedName name="_xlnm.Print_Area" localSheetId="8">'New Bookings Forecast'!$A$1:$Q$78</definedName>
    <definedName name="_xlnm.Print_Area" localSheetId="9">'ProForma-2009'!$A$1:$Q$23</definedName>
    <definedName name="_xlnm.Print_Area" localSheetId="10">'ProForma-5 Year - Not Finished'!$A$1:$AF$72</definedName>
    <definedName name="_xlnm.Print_Area" localSheetId="6">Subscriptions!$A$2:$C$14</definedName>
    <definedName name="_xlnm.Print_Titles" localSheetId="3">'CASH FLOW'!$2:$2</definedName>
    <definedName name="_xlnm.Print_Titles" localSheetId="6">Subscriptions!#REF!</definedName>
    <definedName name="REVCASE">[3]Assumptions!#REF!</definedName>
    <definedName name="Season_SR_1H">[2]Variables!$B$6</definedName>
    <definedName name="Season_SR_2H">[2]Variables!$B$7</definedName>
    <definedName name="STOP" localSheetId="5" hidden="1">{"Expenses_RandD",#N/A,TRUE,"Expenses";"Expenses_Marketing",#N/A,TRUE,"Expenses";"Expenses_Sales",#N/A,TRUE,"Expenses";"Expenses_CGS",#N/A,TRUE,"Expenses";"Expenses_GandA",#N/A,TRUE,"Expenses"}</definedName>
    <definedName name="STOP" hidden="1">{"Expenses_RandD",#N/A,TRUE,"Expenses";"Expenses_Marketing",#N/A,TRUE,"Expenses";"Expenses_Sales",#N/A,TRUE,"Expenses";"Expenses_CGS",#N/A,TRUE,"Expenses";"Expenses_GandA",#N/A,TRUE,"Expenses"}</definedName>
    <definedName name="STOP2" localSheetId="5" hidden="1">{"Y_BS",#N/A,FALSE,"Financials";"Y_IS",#N/A,FALSE,"Financials";"Y_CF",#N/A,FALSE,"Financials"}</definedName>
    <definedName name="STOP2" hidden="1">{"Y_BS",#N/A,FALSE,"Financials";"Y_IS",#N/A,FALSE,"Financials";"Y_CF",#N/A,FALSE,"Financials"}</definedName>
    <definedName name="STOP4" localSheetId="5" hidden="1">{"M_IS01",#N/A,FALSE,"Financials";"M_BS01",#N/A,FALSE,"Financials";"M_IS01",#N/A,FALSE,"Financials"}</definedName>
    <definedName name="STOP4" hidden="1">{"M_IS01",#N/A,FALSE,"Financials";"M_BS01",#N/A,FALSE,"Financials";"M_IS01",#N/A,FALSE,"Financials"}</definedName>
    <definedName name="STOP5" localSheetId="5" hidden="1">{"Qt_IS01",#N/A,FALSE,"QtrFinancials";"Qt_BS01",#N/A,FALSE,"QtrFinancials";"Qt_CF01",#N/A,FALSE,"QtrFinancials"}</definedName>
    <definedName name="STOP5" hidden="1">{"Qt_IS01",#N/A,FALSE,"QtrFinancials";"Qt_BS01",#N/A,FALSE,"QtrFinancials";"Qt_CF01",#N/A,FALSE,"QtrFinancials"}</definedName>
    <definedName name="STOP6" localSheetId="5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STOP6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STOP7" localSheetId="5" hidden="1">{"Sales_Revenue2001",#N/A,FALSE,"Sales_Revenue";"Sales_Revenue2002",#N/A,FALSE,"Sales_Revenue";"Sales_Revenue2003",#N/A,FALSE,"Sales_Revenue";"Sales_Revenue2004",#N/A,FALSE,"Sales_Revenue"}</definedName>
    <definedName name="STOP7" hidden="1">{"Sales_Revenue2001",#N/A,FALSE,"Sales_Revenue";"Sales_Revenue2002",#N/A,FALSE,"Sales_Revenue";"Sales_Revenue2003",#N/A,FALSE,"Sales_Revenue";"Sales_Revenue2004",#N/A,FALSE,"Sales_Revenue"}</definedName>
    <definedName name="wrn.Expenses._.by._.Department._.2001." localSheetId="4" hidden="1">{"Expenses_RandD",#N/A,TRUE,"Expenses";"Expenses_Marketing",#N/A,TRUE,"Expenses";"Expenses_Sales",#N/A,TRUE,"Expenses";"Expenses_CGS",#N/A,TRUE,"Expenses";"Expenses_GandA",#N/A,TRUE,"Expenses"}</definedName>
    <definedName name="wrn.Expenses._.by._.Department._.2001." localSheetId="5" hidden="1">{"Expenses_RandD",#N/A,TRUE,"Expenses";"Expenses_Marketing",#N/A,TRUE,"Expenses";"Expenses_Sales",#N/A,TRUE,"Expenses";"Expenses_CGS",#N/A,TRUE,"Expenses";"Expenses_GandA",#N/A,TRUE,"Expenses"}</definedName>
    <definedName name="wrn.Expenses._.by._.Department._.2001." localSheetId="6" hidden="1">{"Expenses_RandD",#N/A,TRUE,"Expenses";"Expenses_Marketing",#N/A,TRUE,"Expenses";"Expenses_Sales",#N/A,TRUE,"Expenses";"Expenses_CGS",#N/A,TRUE,"Expenses";"Expenses_GandA",#N/A,TRUE,"Expenses"}</definedName>
    <definedName name="wrn.Expenses._.by._.Department._.2001." hidden="1">{"Expenses_RandD",#N/A,TRUE,"Expenses";"Expenses_Marketing",#N/A,TRUE,"Expenses";"Expenses_Sales",#N/A,TRUE,"Expenses";"Expenses_CGS",#N/A,TRUE,"Expenses";"Expenses_GandA",#N/A,TRUE,"Expenses"}</definedName>
    <definedName name="wrn.Fin._.Stmts._.01_Annual." localSheetId="4" hidden="1">{"Y_BS",#N/A,FALSE,"Financials";"Y_IS",#N/A,FALSE,"Financials";"Y_CF",#N/A,FALSE,"Financials"}</definedName>
    <definedName name="wrn.Fin._.Stmts._.01_Annual." localSheetId="5" hidden="1">{"Y_BS",#N/A,FALSE,"Financials";"Y_IS",#N/A,FALSE,"Financials";"Y_CF",#N/A,FALSE,"Financials"}</definedName>
    <definedName name="wrn.Fin._.Stmts._.01_Annual." localSheetId="6" hidden="1">{"Y_BS",#N/A,FALSE,"Financials";"Y_IS",#N/A,FALSE,"Financials";"Y_CF",#N/A,FALSE,"Financials"}</definedName>
    <definedName name="wrn.Fin._.Stmts._.01_Annual." hidden="1">{"Y_BS",#N/A,FALSE,"Financials";"Y_IS",#N/A,FALSE,"Financials";"Y_CF",#N/A,FALSE,"Financials"}</definedName>
    <definedName name="wrn.Fin._.Stmts._.01_Monthly." localSheetId="4" hidden="1">{"M_IS01",#N/A,FALSE,"Financials";"M_BS01",#N/A,FALSE,"Financials";"M_IS01",#N/A,FALSE,"Financials"}</definedName>
    <definedName name="wrn.Fin._.Stmts._.01_Monthly." localSheetId="5" hidden="1">{"M_IS01",#N/A,FALSE,"Financials";"M_BS01",#N/A,FALSE,"Financials";"M_IS01",#N/A,FALSE,"Financials"}</definedName>
    <definedName name="wrn.Fin._.Stmts._.01_Monthly." localSheetId="6" hidden="1">{"M_IS01",#N/A,FALSE,"Financials";"M_BS01",#N/A,FALSE,"Financials";"M_IS01",#N/A,FALSE,"Financials"}</definedName>
    <definedName name="wrn.Fin._.Stmts._.01_Monthly." hidden="1">{"M_IS01",#N/A,FALSE,"Financials";"M_BS01",#N/A,FALSE,"Financials";"M_IS01",#N/A,FALSE,"Financials"}</definedName>
    <definedName name="wrn.Fin._.Stmts._.01_Quarterly." localSheetId="4" hidden="1">{"Qt_IS01",#N/A,FALSE,"QtrFinancials";"Qt_BS01",#N/A,FALSE,"QtrFinancials";"Qt_CF01",#N/A,FALSE,"QtrFinancials"}</definedName>
    <definedName name="wrn.Fin._.Stmts._.01_Quarterly." localSheetId="5" hidden="1">{"Qt_IS01",#N/A,FALSE,"QtrFinancials";"Qt_BS01",#N/A,FALSE,"QtrFinancials";"Qt_CF01",#N/A,FALSE,"QtrFinancials"}</definedName>
    <definedName name="wrn.Fin._.Stmts._.01_Quarterly." localSheetId="6" hidden="1">{"Qt_IS01",#N/A,FALSE,"QtrFinancials";"Qt_BS01",#N/A,FALSE,"QtrFinancials";"Qt_CF01",#N/A,FALSE,"QtrFinancials"}</definedName>
    <definedName name="wrn.Fin._.Stmts._.01_Quarterly." hidden="1">{"Qt_IS01",#N/A,FALSE,"QtrFinancials";"Qt_BS01",#N/A,FALSE,"QtrFinancials";"Qt_CF01",#N/A,FALSE,"QtrFinancials"}</definedName>
    <definedName name="wrn.Headcount._.by._.Department." localSheetId="4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wrn.Headcount._.by._.Department." localSheetId="5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wrn.Headcount._.by._.Department." localSheetId="6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wrn.Headcount._.by._.Department." hidden="1">{"HC_01_CGS_ASP",#N/A,TRUE,"Personnel Costs";"HC_01_CGS_IO",#N/A,TRUE,"Personnel Costs";"HC_01_CGS_SysIn",#N/A,TRUE,"Personnel Costs";"HC_01_GandA",#N/A,TRUE,"Personnel Costs";"HC_01_Mktg",#N/A,TRUE,"Personnel Costs";"HC_01_RandD",#N/A,TRUE,"Personnel Costs";"HC_01_Sales",#N/A,TRUE,"Personnel Costs"}</definedName>
    <definedName name="wrn.Sales_Revenue._.Reports." localSheetId="4" hidden="1">{"Sales_Revenue2001",#N/A,FALSE,"Sales_Revenue";"Sales_Revenue2002",#N/A,FALSE,"Sales_Revenue";"Sales_Revenue2003",#N/A,FALSE,"Sales_Revenue";"Sales_Revenue2004",#N/A,FALSE,"Sales_Revenue"}</definedName>
    <definedName name="wrn.Sales_Revenue._.Reports." localSheetId="5" hidden="1">{"Sales_Revenue2001",#N/A,FALSE,"Sales_Revenue";"Sales_Revenue2002",#N/A,FALSE,"Sales_Revenue";"Sales_Revenue2003",#N/A,FALSE,"Sales_Revenue";"Sales_Revenue2004",#N/A,FALSE,"Sales_Revenue"}</definedName>
    <definedName name="wrn.Sales_Revenue._.Reports." localSheetId="6" hidden="1">{"Sales_Revenue2001",#N/A,FALSE,"Sales_Revenue";"Sales_Revenue2002",#N/A,FALSE,"Sales_Revenue";"Sales_Revenue2003",#N/A,FALSE,"Sales_Revenue";"Sales_Revenue2004",#N/A,FALSE,"Sales_Revenue"}</definedName>
    <definedName name="wrn.Sales_Revenue._.Reports." hidden="1">{"Sales_Revenue2001",#N/A,FALSE,"Sales_Revenue";"Sales_Revenue2002",#N/A,FALSE,"Sales_Revenue";"Sales_Revenue2003",#N/A,FALSE,"Sales_Revenue";"Sales_Revenue2004",#N/A,FALSE,"Sales_Revenue"}</definedName>
    <definedName name="Yr1_A_Channel">#REF!</definedName>
    <definedName name="Yr1_A_PV_Events">#REF!</definedName>
    <definedName name="Yr1_A_PV_LT">#REF!</definedName>
    <definedName name="Yr1_A_PV_Perc">#REF!</definedName>
    <definedName name="Yr1_A_PV_Ratio">#REF!</definedName>
    <definedName name="Yr1_A_PV_Time">#REF!</definedName>
    <definedName name="Yr1_A_PV_Value">#REF!</definedName>
    <definedName name="Yr1_A_R1_Events">#REF!</definedName>
    <definedName name="Yr1_A_R1_LT">#REF!</definedName>
    <definedName name="Yr1_A_R1_Perc">#REF!</definedName>
    <definedName name="Yr1_A_R1_Ratio">#REF!</definedName>
    <definedName name="Yr1_A_R1_Time">#REF!</definedName>
    <definedName name="Yr1_A_R1_Value">#REF!</definedName>
    <definedName name="Yr1_A_R2_Events">#REF!</definedName>
    <definedName name="Yr1_A_R2_LT">#REF!</definedName>
    <definedName name="Yr1_A_R2_Perc">#REF!</definedName>
    <definedName name="Yr1_A_R2_Ratio">#REF!</definedName>
    <definedName name="Yr1_A_R2_Time">#REF!</definedName>
    <definedName name="Yr1_A_R2_Value">#REF!</definedName>
    <definedName name="Yr1_A_R3_Events">#REF!</definedName>
    <definedName name="Yr1_A_R3_LT">#REF!</definedName>
    <definedName name="Yr1_A_R3_Perc">#REF!</definedName>
    <definedName name="Yr1_A_R3_Ratio">#REF!</definedName>
    <definedName name="Yr1_A_R3_Time">#REF!</definedName>
    <definedName name="Yr1_A_R3_Value">#REF!</definedName>
    <definedName name="Yr1_B_Channel">#REF!</definedName>
    <definedName name="Yr1_B_PV_Events">#REF!</definedName>
    <definedName name="Yr1_B_PV_LT">#REF!</definedName>
    <definedName name="Yr1_B_PV_Perc">#REF!</definedName>
    <definedName name="Yr1_B_PV_Ratio">#REF!</definedName>
    <definedName name="Yr1_B_PV_Time">#REF!</definedName>
    <definedName name="Yr1_B_PV_Value">#REF!</definedName>
    <definedName name="Yr1_B_R1_Events">#REF!</definedName>
    <definedName name="Yr1_B_R1_LT">#REF!</definedName>
    <definedName name="Yr1_B_R1_Perc">#REF!</definedName>
    <definedName name="Yr1_B_R1_Ratio">#REF!</definedName>
    <definedName name="Yr1_B_R1_Time">#REF!</definedName>
    <definedName name="Yr1_B_R1_Value">#REF!</definedName>
    <definedName name="Yr1_B_R2_Events">#REF!</definedName>
    <definedName name="Yr1_B_R2_LT">#REF!</definedName>
    <definedName name="Yr1_B_R2_Perc">#REF!</definedName>
    <definedName name="Yr1_B_R2_Ratio">#REF!</definedName>
    <definedName name="Yr1_B_R2_Time">#REF!</definedName>
    <definedName name="Yr1_B_R2_Value">#REF!</definedName>
    <definedName name="Yr1_B_R3_Events">#REF!</definedName>
    <definedName name="Yr1_B_R3_LT">#REF!</definedName>
    <definedName name="Yr1_B_R3_Perc">#REF!</definedName>
    <definedName name="Yr1_B_R3_Ratio">#REF!</definedName>
    <definedName name="Yr1_B_R3_Time">#REF!</definedName>
    <definedName name="Yr1_B_R3_Value">#REF!</definedName>
    <definedName name="Yr1_C_Channel">#REF!</definedName>
    <definedName name="Yr1_C_PV_Events">#REF!</definedName>
    <definedName name="Yr1_C_PV_LT">#REF!</definedName>
    <definedName name="Yr1_C_PV_Perc">#REF!</definedName>
    <definedName name="Yr1_C_PV_Ratio">#REF!</definedName>
    <definedName name="Yr1_C_PV_Time">#REF!</definedName>
    <definedName name="Yr1_C_PV_Value">#REF!</definedName>
    <definedName name="Yr1_C_R1_Events">#REF!</definedName>
    <definedName name="Yr1_C_R1_LT">#REF!</definedName>
    <definedName name="Yr1_C_R1_Perc">#REF!</definedName>
    <definedName name="Yr1_C_R1_Ratio">#REF!</definedName>
    <definedName name="Yr1_C_R1_Time">#REF!</definedName>
    <definedName name="Yr1_C_R1_Value">#REF!</definedName>
    <definedName name="Yr1_C_R2_Events">#REF!</definedName>
    <definedName name="Yr1_C_R2_LT">#REF!</definedName>
    <definedName name="Yr1_C_R2_Perc">#REF!</definedName>
    <definedName name="Yr1_C_R2_Ratio">#REF!</definedName>
    <definedName name="Yr1_C_R2_Time">#REF!</definedName>
    <definedName name="Yr1_C_R2_Value">#REF!</definedName>
    <definedName name="Yr1_C_R3_Events">#REF!</definedName>
    <definedName name="Yr1_C_R3_LT">#REF!</definedName>
    <definedName name="Yr1_C_R3_Perc">#REF!</definedName>
    <definedName name="Yr1_C_R3_Ratio">#REF!</definedName>
    <definedName name="Yr1_C_R3_Time">#REF!</definedName>
    <definedName name="Yr1_C_R3_Value">#REF!</definedName>
    <definedName name="Yr2_A_Channel">#REF!</definedName>
    <definedName name="Yr2_A_PV_Events">#REF!</definedName>
    <definedName name="Yr2_A_PV_LT">#REF!</definedName>
    <definedName name="Yr2_A_PV_Perc">#REF!</definedName>
    <definedName name="Yr2_A_PV_Ratio">#REF!</definedName>
    <definedName name="Yr2_A_PV_Time">#REF!</definedName>
    <definedName name="Yr2_A_PV_Value">#REF!</definedName>
    <definedName name="Yr2_A_R1_Events">#REF!</definedName>
    <definedName name="Yr2_A_R1_LT">#REF!</definedName>
    <definedName name="Yr2_A_R1_Perc">#REF!</definedName>
    <definedName name="Yr2_A_R1_Ratio">#REF!</definedName>
    <definedName name="Yr2_A_R1_Time">#REF!</definedName>
    <definedName name="Yr2_A_R1_Value">#REF!</definedName>
    <definedName name="Yr2_A_R2_Events">#REF!</definedName>
    <definedName name="Yr2_A_R2_LT">#REF!</definedName>
    <definedName name="Yr2_A_R2_Perc">#REF!</definedName>
    <definedName name="Yr2_A_R2_Ratio">#REF!</definedName>
    <definedName name="Yr2_A_R2_Time">#REF!</definedName>
    <definedName name="Yr2_A_R2_Value">#REF!</definedName>
    <definedName name="Yr2_A_R3_Events">#REF!</definedName>
    <definedName name="Yr2_A_R3_LT">#REF!</definedName>
    <definedName name="Yr2_A_R3_Perc">#REF!</definedName>
    <definedName name="Yr2_A_R3_Ratio">#REF!</definedName>
    <definedName name="Yr2_A_R3_Time">#REF!</definedName>
    <definedName name="Yr2_A_R3_Value">#REF!</definedName>
    <definedName name="Yr2_B_Channel">#REF!</definedName>
    <definedName name="Yr2_B_PV_Events">#REF!</definedName>
    <definedName name="Yr2_B_PV_LT">#REF!</definedName>
    <definedName name="Yr2_B_PV_Perc">#REF!</definedName>
    <definedName name="Yr2_B_PV_Ratio">#REF!</definedName>
    <definedName name="Yr2_B_PV_Time">#REF!</definedName>
    <definedName name="Yr2_B_PV_Value">#REF!</definedName>
    <definedName name="Yr2_B_R1_Events">#REF!</definedName>
    <definedName name="Yr2_B_R1_LT">#REF!</definedName>
    <definedName name="Yr2_B_R1_Perc">#REF!</definedName>
    <definedName name="Yr2_B_R1_Ratio">#REF!</definedName>
    <definedName name="Yr2_B_R1_Time">#REF!</definedName>
    <definedName name="Yr2_B_R1_Value">#REF!</definedName>
    <definedName name="Yr2_B_R2_Events">#REF!</definedName>
    <definedName name="Yr2_B_R2_LT">#REF!</definedName>
    <definedName name="Yr2_B_R2_Perc">#REF!</definedName>
    <definedName name="Yr2_B_R2_Ratio">#REF!</definedName>
    <definedName name="Yr2_B_R2_Time">#REF!</definedName>
    <definedName name="Yr2_B_R2_Value">#REF!</definedName>
    <definedName name="Yr2_B_R3_Events">#REF!</definedName>
    <definedName name="Yr2_B_R3_LT">#REF!</definedName>
    <definedName name="Yr2_B_R3_Perc">#REF!</definedName>
    <definedName name="Yr2_B_R3_Ratio">#REF!</definedName>
    <definedName name="Yr2_B_R3_Time">#REF!</definedName>
    <definedName name="Yr2_B_R3_Value">#REF!</definedName>
    <definedName name="Yr2_C_Channel">#REF!</definedName>
    <definedName name="Yr2_C_PV_Events">#REF!</definedName>
    <definedName name="Yr2_C_PV_LT">#REF!</definedName>
    <definedName name="Yr2_C_PV_Perc">#REF!</definedName>
    <definedName name="Yr2_C_PV_Ratio">#REF!</definedName>
    <definedName name="Yr2_C_PV_Time">#REF!</definedName>
    <definedName name="Yr2_C_PV_Value">#REF!</definedName>
    <definedName name="Yr2_C_R1_Events">#REF!</definedName>
    <definedName name="Yr2_C_R1_LT">#REF!</definedName>
    <definedName name="Yr2_C_R1_Perc">#REF!</definedName>
    <definedName name="Yr2_C_R1_Ratio">#REF!</definedName>
    <definedName name="Yr2_C_R1_Time">#REF!</definedName>
    <definedName name="Yr2_C_R1_Value">#REF!</definedName>
    <definedName name="Yr2_C_R2_Events">#REF!</definedName>
    <definedName name="Yr2_C_R2_LT">#REF!</definedName>
    <definedName name="Yr2_C_R2_Perc">#REF!</definedName>
    <definedName name="Yr2_C_R2_Ratio">#REF!</definedName>
    <definedName name="Yr2_C_R2_Time">#REF!</definedName>
    <definedName name="Yr2_C_R2_Value">#REF!</definedName>
    <definedName name="Yr2_C_R3_Events">#REF!</definedName>
    <definedName name="Yr2_C_R3_LT">#REF!</definedName>
    <definedName name="Yr2_C_R3_Perc">#REF!</definedName>
    <definedName name="Yr2_C_R3_Ratio">#REF!</definedName>
    <definedName name="Yr2_C_R3_Time">#REF!</definedName>
    <definedName name="Yr2_C_R3_Value">#REF!</definedName>
    <definedName name="Yr3_A_Channel">#REF!</definedName>
    <definedName name="Yr3_A_PV_Events">#REF!</definedName>
    <definedName name="Yr3_A_PV_LT">#REF!</definedName>
    <definedName name="Yr3_A_PV_Perc">#REF!</definedName>
    <definedName name="Yr3_A_PV_Ratio">#REF!</definedName>
    <definedName name="Yr3_A_PV_Time">#REF!</definedName>
    <definedName name="Yr3_A_PV_Value">#REF!</definedName>
    <definedName name="Yr3_A_R1_Events">#REF!</definedName>
    <definedName name="Yr3_A_R1_LT">#REF!</definedName>
    <definedName name="Yr3_A_R1_Perc">#REF!</definedName>
    <definedName name="Yr3_A_R1_Ratio">#REF!</definedName>
    <definedName name="Yr3_A_R1_Time">#REF!</definedName>
    <definedName name="Yr3_A_R1_Value">#REF!</definedName>
    <definedName name="Yr3_A_R2_Events">#REF!</definedName>
    <definedName name="Yr3_A_R2_LT">#REF!</definedName>
    <definedName name="Yr3_A_R2_Perc">#REF!</definedName>
    <definedName name="Yr3_A_R2_Ratio">#REF!</definedName>
    <definedName name="Yr3_A_R2_Time">#REF!</definedName>
    <definedName name="Yr3_A_R2_Value">#REF!</definedName>
    <definedName name="Yr3_A_R3_Events">#REF!</definedName>
    <definedName name="Yr3_A_R3_LT">#REF!</definedName>
    <definedName name="Yr3_A_R3_Perc">#REF!</definedName>
    <definedName name="Yr3_A_R3_Ratio">#REF!</definedName>
    <definedName name="Yr3_A_R3_Time">#REF!</definedName>
    <definedName name="Yr3_A_R3_Value">#REF!</definedName>
    <definedName name="Yr3_B_Channel">#REF!</definedName>
    <definedName name="Yr3_B_PV_Events">#REF!</definedName>
    <definedName name="Yr3_B_PV_LT">#REF!</definedName>
    <definedName name="Yr3_B_PV_Perc">#REF!</definedName>
    <definedName name="Yr3_B_PV_Ratio">#REF!</definedName>
    <definedName name="Yr3_B_PV_Time">#REF!</definedName>
    <definedName name="Yr3_B_PV_Value">#REF!</definedName>
    <definedName name="Yr3_B_R1_Events">#REF!</definedName>
    <definedName name="Yr3_B_R1_LT">#REF!</definedName>
    <definedName name="Yr3_B_R1_Perc">#REF!</definedName>
    <definedName name="Yr3_B_R1_Ratio">#REF!</definedName>
    <definedName name="Yr3_B_R1_Time">#REF!</definedName>
    <definedName name="Yr3_B_R1_Value">#REF!</definedName>
    <definedName name="Yr3_B_R2_Events">#REF!</definedName>
    <definedName name="Yr3_B_R2_LT">#REF!</definedName>
    <definedName name="Yr3_B_R2_Perc">#REF!</definedName>
    <definedName name="Yr3_B_R2_Ratio">#REF!</definedName>
    <definedName name="Yr3_B_R2_Time">#REF!</definedName>
    <definedName name="Yr3_B_R2_Value">#REF!</definedName>
    <definedName name="Yr3_B_R3_Events">#REF!</definedName>
    <definedName name="Yr3_B_R3_LT">#REF!</definedName>
    <definedName name="Yr3_B_R3_Perc">#REF!</definedName>
    <definedName name="Yr3_B_R3_Ratio">#REF!</definedName>
    <definedName name="Yr3_B_R3_Time">#REF!</definedName>
    <definedName name="Yr3_B_R3_Value">#REF!</definedName>
    <definedName name="Yr3_C_Channel">#REF!</definedName>
    <definedName name="Yr3_C_PV_Events">#REF!</definedName>
    <definedName name="Yr3_C_PV_LT">#REF!</definedName>
    <definedName name="Yr3_C_PV_Perc">#REF!</definedName>
    <definedName name="Yr3_C_PV_Ratio">#REF!</definedName>
    <definedName name="Yr3_C_PV_Time">#REF!</definedName>
    <definedName name="Yr3_C_PV_Value">#REF!</definedName>
    <definedName name="Yr3_C_R1_Events">#REF!</definedName>
    <definedName name="Yr3_C_R1_LT">#REF!</definedName>
    <definedName name="Yr3_C_R1_Perc">#REF!</definedName>
    <definedName name="Yr3_C_R1_Ratio">#REF!</definedName>
    <definedName name="Yr3_C_R1_Time">#REF!</definedName>
    <definedName name="Yr3_C_R1_Value">#REF!</definedName>
    <definedName name="Yr3_C_R2_Events">#REF!</definedName>
    <definedName name="Yr3_C_R2_LT">#REF!</definedName>
    <definedName name="Yr3_C_R2_Perc">#REF!</definedName>
    <definedName name="Yr3_C_R2_Ratio">#REF!</definedName>
    <definedName name="Yr3_C_R2_Time">#REF!</definedName>
    <definedName name="Yr3_C_R2_Value">#REF!</definedName>
    <definedName name="Yr3_C_R3_Events">#REF!</definedName>
    <definedName name="Yr3_C_R3_LT">#REF!</definedName>
    <definedName name="Yr3_C_R3_Perc">#REF!</definedName>
    <definedName name="Yr3_C_R3_Ratio">#REF!</definedName>
    <definedName name="Yr3_C_R3_Time">#REF!</definedName>
    <definedName name="Yr3_C_R3_Value">#REF!</definedName>
    <definedName name="Yr4_A_Channel">#REF!</definedName>
    <definedName name="Yr4_A_PV_Events">#REF!</definedName>
    <definedName name="Yr4_A_PV_LT">#REF!</definedName>
    <definedName name="Yr4_A_PV_Perc">#REF!</definedName>
    <definedName name="Yr4_A_PV_Ratio">#REF!</definedName>
    <definedName name="Yr4_A_PV_Time">#REF!</definedName>
    <definedName name="Yr4_A_PV_Value">#REF!</definedName>
    <definedName name="Yr4_A_R1_Events">#REF!</definedName>
    <definedName name="Yr4_A_R1_LT">#REF!</definedName>
    <definedName name="Yr4_A_R1_Perc">#REF!</definedName>
    <definedName name="Yr4_A_R1_Ratio">#REF!</definedName>
    <definedName name="Yr4_A_R1_Time">#REF!</definedName>
    <definedName name="Yr4_A_R1_Value">#REF!</definedName>
    <definedName name="Yr4_A_R2_Events">#REF!</definedName>
    <definedName name="Yr4_A_R2_LT">#REF!</definedName>
    <definedName name="Yr4_A_R2_Perc">#REF!</definedName>
    <definedName name="Yr4_A_R2_Ratio">#REF!</definedName>
    <definedName name="Yr4_A_R2_Time">#REF!</definedName>
    <definedName name="Yr4_A_R2_Value">#REF!</definedName>
    <definedName name="Yr4_A_R3_Events">#REF!</definedName>
    <definedName name="Yr4_A_R3_LT">#REF!</definedName>
    <definedName name="Yr4_A_R3_Perc">#REF!</definedName>
    <definedName name="Yr4_A_R3_Ratio">#REF!</definedName>
    <definedName name="Yr4_A_R3_Time">#REF!</definedName>
    <definedName name="Yr4_A_R3_Value">#REF!</definedName>
    <definedName name="Yr4_B_Channel">#REF!</definedName>
    <definedName name="Yr4_B_PV_Events">#REF!</definedName>
    <definedName name="Yr4_B_PV_LT">#REF!</definedName>
    <definedName name="Yr4_B_PV_Perc">#REF!</definedName>
    <definedName name="Yr4_B_PV_Ratio">#REF!</definedName>
    <definedName name="Yr4_B_PV_Time">#REF!</definedName>
    <definedName name="Yr4_B_PV_Value">#REF!</definedName>
    <definedName name="Yr4_B_R1_Events">#REF!</definedName>
    <definedName name="Yr4_B_R1_LT">#REF!</definedName>
    <definedName name="Yr4_B_R1_Perc">#REF!</definedName>
    <definedName name="Yr4_B_R1_Ratio">#REF!</definedName>
    <definedName name="Yr4_B_R1_Time">#REF!</definedName>
    <definedName name="Yr4_B_R1_Value">#REF!</definedName>
    <definedName name="Yr4_B_R2_Events">#REF!</definedName>
    <definedName name="Yr4_B_R2_LT">#REF!</definedName>
    <definedName name="Yr4_B_R2_Perc">#REF!</definedName>
    <definedName name="Yr4_B_R2_Ratio">#REF!</definedName>
    <definedName name="Yr4_B_R2_Time">#REF!</definedName>
    <definedName name="Yr4_B_R2_Value">#REF!</definedName>
    <definedName name="Yr4_B_R3_Events">#REF!</definedName>
    <definedName name="Yr4_B_R3_LT">#REF!</definedName>
    <definedName name="Yr4_B_R3_Perc">#REF!</definedName>
    <definedName name="Yr4_B_R3_Ratio">#REF!</definedName>
    <definedName name="Yr4_B_R3_Time">#REF!</definedName>
    <definedName name="Yr4_B_R3_Value">#REF!</definedName>
    <definedName name="Yr4_C_Channel">#REF!</definedName>
    <definedName name="Yr4_C_PV_Events">#REF!</definedName>
    <definedName name="Yr4_C_PV_LT">#REF!</definedName>
    <definedName name="Yr4_C_PV_Perc">#REF!</definedName>
    <definedName name="Yr4_C_PV_Ratio">#REF!</definedName>
    <definedName name="Yr4_C_PV_Time">#REF!</definedName>
    <definedName name="Yr4_C_PV_Value">#REF!</definedName>
    <definedName name="Yr4_C_R1_Events">#REF!</definedName>
    <definedName name="Yr4_C_R1_LT">#REF!</definedName>
    <definedName name="Yr4_C_R1_Perc">#REF!</definedName>
    <definedName name="Yr4_C_R1_Ratio">#REF!</definedName>
    <definedName name="Yr4_C_R1_Time">#REF!</definedName>
    <definedName name="Yr4_C_R1_Value">#REF!</definedName>
    <definedName name="Yr4_C_R2_Events">#REF!</definedName>
    <definedName name="Yr4_C_R2_LT">#REF!</definedName>
    <definedName name="Yr4_C_R2_Perc">#REF!</definedName>
    <definedName name="Yr4_C_R2_Ratio">#REF!</definedName>
    <definedName name="Yr4_C_R2_Time">#REF!</definedName>
    <definedName name="Yr4_C_R2_Value">#REF!</definedName>
    <definedName name="Yr4_C_R3_Events">#REF!</definedName>
    <definedName name="Yr4_C_R3_LT">#REF!</definedName>
    <definedName name="Yr4_C_R3_Perc">#REF!</definedName>
    <definedName name="Yr4_C_R3_Ratio">#REF!</definedName>
    <definedName name="Yr4_C_R3_Time">#REF!</definedName>
    <definedName name="Yr4_C_R3_Value">#REF!</definedName>
    <definedName name="Yr5_A_Channel">#REF!</definedName>
    <definedName name="Yr5_A_PV_Events">#REF!</definedName>
    <definedName name="Yr5_A_PV_LT">#REF!</definedName>
    <definedName name="Yr5_A_PV_Perc">#REF!</definedName>
    <definedName name="Yr5_A_PV_Ratio">#REF!</definedName>
    <definedName name="Yr5_A_PV_Time">#REF!</definedName>
    <definedName name="Yr5_A_PV_Value">#REF!</definedName>
    <definedName name="Yr5_A_R1_Events">#REF!</definedName>
    <definedName name="Yr5_A_R1_LT">#REF!</definedName>
    <definedName name="Yr5_A_R1_Perc">#REF!</definedName>
    <definedName name="Yr5_A_R1_Ratio">#REF!</definedName>
    <definedName name="Yr5_A_R1_Time">#REF!</definedName>
    <definedName name="Yr5_A_R1_Value">#REF!</definedName>
    <definedName name="Yr5_A_R2_Events">#REF!</definedName>
    <definedName name="Yr5_A_R2_LT">#REF!</definedName>
    <definedName name="Yr5_A_R2_Perc">#REF!</definedName>
    <definedName name="Yr5_A_R2_Ratio">#REF!</definedName>
    <definedName name="Yr5_A_R2_Time">#REF!</definedName>
    <definedName name="Yr5_A_R2_Value">#REF!</definedName>
    <definedName name="Yr5_A_R3_Events">#REF!</definedName>
    <definedName name="Yr5_A_R3_LT">#REF!</definedName>
    <definedName name="Yr5_A_R3_Perc">#REF!</definedName>
    <definedName name="Yr5_A_R3_Ratio">#REF!</definedName>
    <definedName name="Yr5_A_R3_Time">#REF!</definedName>
    <definedName name="Yr5_A_R3_Value">#REF!</definedName>
    <definedName name="Yr5_B_Channel">#REF!</definedName>
    <definedName name="Yr5_B_PV_Events">#REF!</definedName>
    <definedName name="Yr5_B_PV_LT">#REF!</definedName>
    <definedName name="Yr5_B_PV_Perc">#REF!</definedName>
    <definedName name="Yr5_B_PV_Ratio">#REF!</definedName>
    <definedName name="Yr5_B_PV_Time">#REF!</definedName>
    <definedName name="Yr5_B_PV_Value">#REF!</definedName>
    <definedName name="Yr5_B_R1_Events">#REF!</definedName>
    <definedName name="Yr5_B_R1_LT">#REF!</definedName>
    <definedName name="Yr5_B_R1_Perc">#REF!</definedName>
    <definedName name="Yr5_B_R1_Ratio">#REF!</definedName>
    <definedName name="Yr5_B_R1_Time">#REF!</definedName>
    <definedName name="Yr5_B_R1_Value">#REF!</definedName>
    <definedName name="Yr5_B_R2_Events">#REF!</definedName>
    <definedName name="Yr5_B_R2_LT">#REF!</definedName>
    <definedName name="Yr5_B_R2_Perc">#REF!</definedName>
    <definedName name="Yr5_B_R2_Ratio">#REF!</definedName>
    <definedName name="Yr5_B_R2_Time">#REF!</definedName>
    <definedName name="Yr5_B_R2_Value">#REF!</definedName>
    <definedName name="Yr5_B_R3_Events">#REF!</definedName>
    <definedName name="Yr5_B_R3_LT">#REF!</definedName>
    <definedName name="Yr5_B_R3_Perc">#REF!</definedName>
    <definedName name="Yr5_B_R3_Ratio">#REF!</definedName>
    <definedName name="Yr5_B_R3_Time">#REF!</definedName>
    <definedName name="Yr5_B_R3_Value">#REF!</definedName>
    <definedName name="Yr5_C_Channel">#REF!</definedName>
    <definedName name="Yr5_C_PV_Events">#REF!</definedName>
    <definedName name="Yr5_C_PV_LT">#REF!</definedName>
    <definedName name="Yr5_C_PV_Perc">#REF!</definedName>
    <definedName name="Yr5_C_PV_Ratio">#REF!</definedName>
    <definedName name="Yr5_C_PV_Time">#REF!</definedName>
    <definedName name="Yr5_C_PV_Value">#REF!</definedName>
    <definedName name="Yr5_C_R1_Events">#REF!</definedName>
    <definedName name="Yr5_C_R1_LT">#REF!</definedName>
    <definedName name="Yr5_C_R1_Perc">#REF!</definedName>
    <definedName name="Yr5_C_R1_Ratio">#REF!</definedName>
    <definedName name="Yr5_C_R1_Time">#REF!</definedName>
    <definedName name="Yr5_C_R1_Value">#REF!</definedName>
    <definedName name="Yr5_C_R2_Events">#REF!</definedName>
    <definedName name="Yr5_C_R2_LT">#REF!</definedName>
    <definedName name="Yr5_C_R2_Perc">#REF!</definedName>
    <definedName name="Yr5_C_R2_Ratio">#REF!</definedName>
    <definedName name="Yr5_C_R2_Time">#REF!</definedName>
    <definedName name="Yr5_C_R2_Value">#REF!</definedName>
    <definedName name="Yr5_C_R3_Events">#REF!</definedName>
    <definedName name="Yr5_C_R3_LT">#REF!</definedName>
    <definedName name="Yr5_C_R3_Perc">#REF!</definedName>
    <definedName name="Yr5_C_R3_Ratio">#REF!</definedName>
    <definedName name="Yr5_C_R3_Time">#REF!</definedName>
    <definedName name="Yr5_C_R3_Value">#REF!</definedName>
  </definedNames>
  <calcPr calcId="125725"/>
</workbook>
</file>

<file path=xl/calcChain.xml><?xml version="1.0" encoding="utf-8"?>
<calcChain xmlns="http://schemas.openxmlformats.org/spreadsheetml/2006/main">
  <c r="B19" i="13"/>
  <c r="C19"/>
  <c r="D19"/>
  <c r="E19"/>
  <c r="F19"/>
  <c r="G19"/>
  <c r="H19"/>
  <c r="I19"/>
  <c r="J19"/>
  <c r="K19"/>
  <c r="L19"/>
  <c r="M19"/>
  <c r="Q13" i="12"/>
  <c r="Q5"/>
  <c r="Q6"/>
  <c r="Q4"/>
  <c r="S5"/>
  <c r="T5"/>
  <c r="U5"/>
  <c r="V5"/>
  <c r="S6"/>
  <c r="T6"/>
  <c r="U6"/>
  <c r="V6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7"/>
  <c r="T17"/>
  <c r="U17"/>
  <c r="V17"/>
  <c r="V4"/>
  <c r="U4"/>
  <c r="T4"/>
  <c r="S4"/>
  <c r="M23" i="13"/>
  <c r="L23"/>
  <c r="K23"/>
  <c r="J23"/>
  <c r="I23"/>
  <c r="H23"/>
  <c r="G23"/>
  <c r="F23"/>
  <c r="E23"/>
  <c r="D23"/>
  <c r="C23"/>
  <c r="B23"/>
  <c r="O10" l="1"/>
  <c r="C27"/>
  <c r="D27"/>
  <c r="E27"/>
  <c r="F27"/>
  <c r="G27"/>
  <c r="H27"/>
  <c r="I27"/>
  <c r="J27"/>
  <c r="K27"/>
  <c r="L27"/>
  <c r="M27"/>
  <c r="B27"/>
  <c r="Q17" i="12"/>
  <c r="P6"/>
  <c r="P9" s="1"/>
  <c r="P10" s="1"/>
  <c r="E8"/>
  <c r="O6"/>
  <c r="O9" s="1"/>
  <c r="O10" s="1"/>
  <c r="N6"/>
  <c r="N9" s="1"/>
  <c r="M6"/>
  <c r="M9" s="1"/>
  <c r="L6"/>
  <c r="L9" s="1"/>
  <c r="M11" s="1"/>
  <c r="K6"/>
  <c r="K9" s="1"/>
  <c r="J6"/>
  <c r="J9" s="1"/>
  <c r="K11" s="1"/>
  <c r="I6"/>
  <c r="I9" s="1"/>
  <c r="H6"/>
  <c r="H9" s="1"/>
  <c r="I11" s="1"/>
  <c r="G6"/>
  <c r="G9" s="1"/>
  <c r="F6"/>
  <c r="F9" s="1"/>
  <c r="G11" s="1"/>
  <c r="E6"/>
  <c r="E9" s="1"/>
  <c r="D6"/>
  <c r="F11" l="1"/>
  <c r="G12"/>
  <c r="E10"/>
  <c r="E13" s="1"/>
  <c r="O11"/>
  <c r="O13" s="1"/>
  <c r="L9" i="13" s="1"/>
  <c r="P12" i="12"/>
  <c r="P11"/>
  <c r="P13" s="1"/>
  <c r="M9" i="13" s="1"/>
  <c r="I12" i="12"/>
  <c r="H11"/>
  <c r="G10"/>
  <c r="I10"/>
  <c r="K12"/>
  <c r="J11"/>
  <c r="K10"/>
  <c r="K13" s="1"/>
  <c r="H9" i="13" s="1"/>
  <c r="M12" i="12"/>
  <c r="L11"/>
  <c r="M10"/>
  <c r="M13" s="1"/>
  <c r="J9" i="13" s="1"/>
  <c r="O12" i="12"/>
  <c r="N11"/>
  <c r="L12"/>
  <c r="H12"/>
  <c r="N10"/>
  <c r="L10"/>
  <c r="J10"/>
  <c r="H10"/>
  <c r="F10"/>
  <c r="F13" s="1"/>
  <c r="C9" i="13" s="1"/>
  <c r="N12" i="12"/>
  <c r="J12"/>
  <c r="E14" l="1"/>
  <c r="F8" s="1"/>
  <c r="F14" s="1"/>
  <c r="G8" s="1"/>
  <c r="G14" s="1"/>
  <c r="H8" s="1"/>
  <c r="B9" i="13"/>
  <c r="G13" i="12"/>
  <c r="D9" i="13" s="1"/>
  <c r="I13" i="12"/>
  <c r="F9" i="13" s="1"/>
  <c r="J13" i="12"/>
  <c r="G9" i="13" s="1"/>
  <c r="N13" i="12"/>
  <c r="K9" i="13" s="1"/>
  <c r="T9" s="1"/>
  <c r="H13" i="12"/>
  <c r="E9" i="13" s="1"/>
  <c r="L13" i="12"/>
  <c r="I9" i="13" s="1"/>
  <c r="S9" s="1"/>
  <c r="R9" l="1"/>
  <c r="Q9"/>
  <c r="O9"/>
  <c r="H14" i="12"/>
  <c r="I8" s="1"/>
  <c r="I14" s="1"/>
  <c r="J8" s="1"/>
  <c r="J14" s="1"/>
  <c r="K8" s="1"/>
  <c r="K14" s="1"/>
  <c r="L8" s="1"/>
  <c r="L14" s="1"/>
  <c r="M8" s="1"/>
  <c r="M14" s="1"/>
  <c r="N8" s="1"/>
  <c r="N14" s="1"/>
  <c r="O8" s="1"/>
  <c r="O14" s="1"/>
  <c r="P8" s="1"/>
  <c r="P14" s="1"/>
  <c r="Q104" l="1"/>
  <c r="C102"/>
  <c r="P101"/>
  <c r="O101"/>
  <c r="N101"/>
  <c r="M101"/>
  <c r="L101"/>
  <c r="K101"/>
  <c r="J101"/>
  <c r="I101"/>
  <c r="H101"/>
  <c r="G101"/>
  <c r="F101"/>
  <c r="E101"/>
  <c r="P100"/>
  <c r="P102" s="1"/>
  <c r="O100"/>
  <c r="O102" s="1"/>
  <c r="N100"/>
  <c r="N102" s="1"/>
  <c r="M100"/>
  <c r="M102" s="1"/>
  <c r="L100"/>
  <c r="L102" s="1"/>
  <c r="K100"/>
  <c r="K102" s="1"/>
  <c r="J100"/>
  <c r="J102" s="1"/>
  <c r="I100"/>
  <c r="I102" s="1"/>
  <c r="H100"/>
  <c r="H102" s="1"/>
  <c r="G100"/>
  <c r="G102" s="1"/>
  <c r="F100"/>
  <c r="F102" s="1"/>
  <c r="E100"/>
  <c r="P108"/>
  <c r="O108"/>
  <c r="N108"/>
  <c r="M108"/>
  <c r="L108"/>
  <c r="K108"/>
  <c r="J108"/>
  <c r="I108"/>
  <c r="H108"/>
  <c r="G108"/>
  <c r="F108"/>
  <c r="E108"/>
  <c r="P107"/>
  <c r="O107"/>
  <c r="N107"/>
  <c r="M107"/>
  <c r="L107"/>
  <c r="K107"/>
  <c r="J107"/>
  <c r="I107"/>
  <c r="H107"/>
  <c r="G107"/>
  <c r="F107"/>
  <c r="E107"/>
  <c r="D107"/>
  <c r="P106"/>
  <c r="O106"/>
  <c r="N106"/>
  <c r="M106"/>
  <c r="L106"/>
  <c r="K106"/>
  <c r="J106"/>
  <c r="I106"/>
  <c r="H106"/>
  <c r="G106"/>
  <c r="F106"/>
  <c r="E106"/>
  <c r="P105"/>
  <c r="O105"/>
  <c r="O109" s="1"/>
  <c r="N105"/>
  <c r="M105"/>
  <c r="M109" s="1"/>
  <c r="L105"/>
  <c r="K105"/>
  <c r="J105"/>
  <c r="I105"/>
  <c r="I109" s="1"/>
  <c r="H105"/>
  <c r="G105"/>
  <c r="G109" s="1"/>
  <c r="F105"/>
  <c r="E105"/>
  <c r="D105"/>
  <c r="D96"/>
  <c r="P95"/>
  <c r="O95"/>
  <c r="N95"/>
  <c r="M95"/>
  <c r="L95"/>
  <c r="K95"/>
  <c r="J95"/>
  <c r="I95"/>
  <c r="H95"/>
  <c r="G95"/>
  <c r="F95"/>
  <c r="E95"/>
  <c r="P94"/>
  <c r="O94"/>
  <c r="N94"/>
  <c r="M94"/>
  <c r="L94"/>
  <c r="K94"/>
  <c r="U94" s="1"/>
  <c r="J94"/>
  <c r="I94"/>
  <c r="H94"/>
  <c r="G94"/>
  <c r="F94"/>
  <c r="E94"/>
  <c r="P93"/>
  <c r="O93"/>
  <c r="N93"/>
  <c r="M93"/>
  <c r="L93"/>
  <c r="K93"/>
  <c r="U93" s="1"/>
  <c r="J93"/>
  <c r="I93"/>
  <c r="H93"/>
  <c r="G93"/>
  <c r="F93"/>
  <c r="E93"/>
  <c r="S93" s="1"/>
  <c r="P92"/>
  <c r="O92"/>
  <c r="N92"/>
  <c r="M92"/>
  <c r="L92"/>
  <c r="K92"/>
  <c r="J92"/>
  <c r="I92"/>
  <c r="H92"/>
  <c r="G92"/>
  <c r="F92"/>
  <c r="E92"/>
  <c r="P91"/>
  <c r="P96" s="1"/>
  <c r="O91"/>
  <c r="O96" s="1"/>
  <c r="N91"/>
  <c r="N96" s="1"/>
  <c r="M91"/>
  <c r="M96" s="1"/>
  <c r="L91"/>
  <c r="L96" s="1"/>
  <c r="K91"/>
  <c r="J91"/>
  <c r="J96" s="1"/>
  <c r="I91"/>
  <c r="I96" s="1"/>
  <c r="H91"/>
  <c r="H96" s="1"/>
  <c r="G91"/>
  <c r="G96" s="1"/>
  <c r="F91"/>
  <c r="F96" s="1"/>
  <c r="E91"/>
  <c r="P88"/>
  <c r="O88"/>
  <c r="N88"/>
  <c r="M88"/>
  <c r="L88"/>
  <c r="K88"/>
  <c r="J88"/>
  <c r="I88"/>
  <c r="H88"/>
  <c r="G88"/>
  <c r="F88"/>
  <c r="E88"/>
  <c r="P87"/>
  <c r="O87"/>
  <c r="N87"/>
  <c r="M87"/>
  <c r="L87"/>
  <c r="K87"/>
  <c r="J87"/>
  <c r="I87"/>
  <c r="H87"/>
  <c r="G87"/>
  <c r="F87"/>
  <c r="E87"/>
  <c r="P86"/>
  <c r="O86"/>
  <c r="N86"/>
  <c r="M86"/>
  <c r="L86"/>
  <c r="K86"/>
  <c r="J86"/>
  <c r="I86"/>
  <c r="H86"/>
  <c r="G86"/>
  <c r="F86"/>
  <c r="E86"/>
  <c r="Q86" s="1"/>
  <c r="P43"/>
  <c r="O43"/>
  <c r="N43"/>
  <c r="M43"/>
  <c r="L43"/>
  <c r="K43"/>
  <c r="U43" s="1"/>
  <c r="J43"/>
  <c r="I43"/>
  <c r="H43"/>
  <c r="G43"/>
  <c r="F43"/>
  <c r="E43"/>
  <c r="S43" s="1"/>
  <c r="P42"/>
  <c r="O42"/>
  <c r="N42"/>
  <c r="M42"/>
  <c r="L42"/>
  <c r="K42"/>
  <c r="U42" s="1"/>
  <c r="J42"/>
  <c r="I42"/>
  <c r="H42"/>
  <c r="G42"/>
  <c r="F42"/>
  <c r="E42"/>
  <c r="Q42" s="1"/>
  <c r="P85"/>
  <c r="O85"/>
  <c r="N85"/>
  <c r="M85"/>
  <c r="L85"/>
  <c r="K85"/>
  <c r="U85" s="1"/>
  <c r="J85"/>
  <c r="I85"/>
  <c r="H85"/>
  <c r="G85"/>
  <c r="F85"/>
  <c r="E85"/>
  <c r="D85"/>
  <c r="P84"/>
  <c r="O84"/>
  <c r="N84"/>
  <c r="V84" s="1"/>
  <c r="M84"/>
  <c r="L84"/>
  <c r="K84"/>
  <c r="J84"/>
  <c r="I84"/>
  <c r="H84"/>
  <c r="T84" s="1"/>
  <c r="G84"/>
  <c r="F84"/>
  <c r="E84"/>
  <c r="D84"/>
  <c r="P83"/>
  <c r="O83"/>
  <c r="N83"/>
  <c r="M83"/>
  <c r="L83"/>
  <c r="K83"/>
  <c r="J83"/>
  <c r="I83"/>
  <c r="H83"/>
  <c r="G83"/>
  <c r="F83"/>
  <c r="E83"/>
  <c r="S83" s="1"/>
  <c r="D83"/>
  <c r="P82"/>
  <c r="O82"/>
  <c r="N82"/>
  <c r="V82" s="1"/>
  <c r="M82"/>
  <c r="L82"/>
  <c r="K82"/>
  <c r="J82"/>
  <c r="I82"/>
  <c r="H82"/>
  <c r="T82" s="1"/>
  <c r="G82"/>
  <c r="F82"/>
  <c r="E82"/>
  <c r="D82"/>
  <c r="P81"/>
  <c r="O81"/>
  <c r="O89" s="1"/>
  <c r="N81"/>
  <c r="M81"/>
  <c r="M89" s="1"/>
  <c r="L81"/>
  <c r="K81"/>
  <c r="K89" s="1"/>
  <c r="J81"/>
  <c r="I81"/>
  <c r="I89" s="1"/>
  <c r="H81"/>
  <c r="G81"/>
  <c r="G89" s="1"/>
  <c r="F81"/>
  <c r="E81"/>
  <c r="E89" s="1"/>
  <c r="D81"/>
  <c r="P78"/>
  <c r="O78"/>
  <c r="N78"/>
  <c r="V78" s="1"/>
  <c r="M78"/>
  <c r="L78"/>
  <c r="K78"/>
  <c r="J78"/>
  <c r="I78"/>
  <c r="H78"/>
  <c r="T78" s="1"/>
  <c r="G78"/>
  <c r="F78"/>
  <c r="E78"/>
  <c r="P77"/>
  <c r="O77"/>
  <c r="N77"/>
  <c r="V77" s="1"/>
  <c r="M77"/>
  <c r="L77"/>
  <c r="K77"/>
  <c r="J77"/>
  <c r="I77"/>
  <c r="H77"/>
  <c r="T77" s="1"/>
  <c r="G77"/>
  <c r="F77"/>
  <c r="E77"/>
  <c r="P76"/>
  <c r="P79" s="1"/>
  <c r="O76"/>
  <c r="O79" s="1"/>
  <c r="N76"/>
  <c r="N79" s="1"/>
  <c r="M76"/>
  <c r="M79" s="1"/>
  <c r="L76"/>
  <c r="L79" s="1"/>
  <c r="K76"/>
  <c r="J76"/>
  <c r="J79" s="1"/>
  <c r="I76"/>
  <c r="I79" s="1"/>
  <c r="H76"/>
  <c r="H79" s="1"/>
  <c r="G76"/>
  <c r="G79" s="1"/>
  <c r="F76"/>
  <c r="F79" s="1"/>
  <c r="E76"/>
  <c r="D76"/>
  <c r="D79" s="1"/>
  <c r="P73"/>
  <c r="O73"/>
  <c r="N73"/>
  <c r="M73"/>
  <c r="L73"/>
  <c r="K73"/>
  <c r="U73" s="1"/>
  <c r="J73"/>
  <c r="I73"/>
  <c r="H73"/>
  <c r="G73"/>
  <c r="F73"/>
  <c r="E73"/>
  <c r="S73" s="1"/>
  <c r="P72"/>
  <c r="O72"/>
  <c r="N72"/>
  <c r="M72"/>
  <c r="L72"/>
  <c r="K72"/>
  <c r="U72" s="1"/>
  <c r="J72"/>
  <c r="I72"/>
  <c r="H72"/>
  <c r="G72"/>
  <c r="F72"/>
  <c r="E72"/>
  <c r="D72"/>
  <c r="P71"/>
  <c r="O71"/>
  <c r="N71"/>
  <c r="V71" s="1"/>
  <c r="M71"/>
  <c r="L71"/>
  <c r="K71"/>
  <c r="J71"/>
  <c r="I71"/>
  <c r="H71"/>
  <c r="T71" s="1"/>
  <c r="G71"/>
  <c r="F71"/>
  <c r="E71"/>
  <c r="D71"/>
  <c r="D74" s="1"/>
  <c r="P70"/>
  <c r="O70"/>
  <c r="O74" s="1"/>
  <c r="N70"/>
  <c r="M70"/>
  <c r="M74" s="1"/>
  <c r="L70"/>
  <c r="K70"/>
  <c r="K74" s="1"/>
  <c r="J70"/>
  <c r="I70"/>
  <c r="I74" s="1"/>
  <c r="H70"/>
  <c r="G70"/>
  <c r="G74" s="1"/>
  <c r="F70"/>
  <c r="E70"/>
  <c r="Q70" s="1"/>
  <c r="P67"/>
  <c r="O67"/>
  <c r="N67"/>
  <c r="M67"/>
  <c r="L67"/>
  <c r="K67"/>
  <c r="U67" s="1"/>
  <c r="J67"/>
  <c r="I67"/>
  <c r="H67"/>
  <c r="G67"/>
  <c r="F67"/>
  <c r="E67"/>
  <c r="S67" s="1"/>
  <c r="P66"/>
  <c r="O66"/>
  <c r="N66"/>
  <c r="M66"/>
  <c r="L66"/>
  <c r="K66"/>
  <c r="U66" s="1"/>
  <c r="J66"/>
  <c r="I66"/>
  <c r="H66"/>
  <c r="G66"/>
  <c r="F66"/>
  <c r="E66"/>
  <c r="Q66" s="1"/>
  <c r="D66"/>
  <c r="P65"/>
  <c r="O65"/>
  <c r="N65"/>
  <c r="V65" s="1"/>
  <c r="M65"/>
  <c r="L65"/>
  <c r="K65"/>
  <c r="J65"/>
  <c r="I65"/>
  <c r="H65"/>
  <c r="T65" s="1"/>
  <c r="G65"/>
  <c r="F65"/>
  <c r="E65"/>
  <c r="D65"/>
  <c r="P64"/>
  <c r="O64"/>
  <c r="N64"/>
  <c r="M64"/>
  <c r="L64"/>
  <c r="K64"/>
  <c r="U64" s="1"/>
  <c r="J64"/>
  <c r="I64"/>
  <c r="H64"/>
  <c r="G64"/>
  <c r="F64"/>
  <c r="E64"/>
  <c r="Q64" s="1"/>
  <c r="P63"/>
  <c r="O63"/>
  <c r="N63"/>
  <c r="M63"/>
  <c r="L63"/>
  <c r="K63"/>
  <c r="U63" s="1"/>
  <c r="J63"/>
  <c r="I63"/>
  <c r="H63"/>
  <c r="G63"/>
  <c r="F63"/>
  <c r="E63"/>
  <c r="S63" s="1"/>
  <c r="D63"/>
  <c r="P62"/>
  <c r="P68" s="1"/>
  <c r="O62"/>
  <c r="N62"/>
  <c r="N68" s="1"/>
  <c r="M62"/>
  <c r="L62"/>
  <c r="L68" s="1"/>
  <c r="K62"/>
  <c r="J62"/>
  <c r="J68" s="1"/>
  <c r="I62"/>
  <c r="H62"/>
  <c r="H68" s="1"/>
  <c r="G62"/>
  <c r="F62"/>
  <c r="F68" s="1"/>
  <c r="E62"/>
  <c r="D62"/>
  <c r="D68" s="1"/>
  <c r="P59"/>
  <c r="O59"/>
  <c r="N59"/>
  <c r="M59"/>
  <c r="L59"/>
  <c r="K59"/>
  <c r="U59" s="1"/>
  <c r="J59"/>
  <c r="I59"/>
  <c r="H59"/>
  <c r="G59"/>
  <c r="F59"/>
  <c r="E59"/>
  <c r="S59" s="1"/>
  <c r="D59"/>
  <c r="P58"/>
  <c r="O58"/>
  <c r="N58"/>
  <c r="V58" s="1"/>
  <c r="M58"/>
  <c r="L58"/>
  <c r="K58"/>
  <c r="J58"/>
  <c r="I58"/>
  <c r="H58"/>
  <c r="T58" s="1"/>
  <c r="G58"/>
  <c r="F58"/>
  <c r="E58"/>
  <c r="P57"/>
  <c r="O57"/>
  <c r="N57"/>
  <c r="V57" s="1"/>
  <c r="M57"/>
  <c r="L57"/>
  <c r="K57"/>
  <c r="J57"/>
  <c r="I57"/>
  <c r="H57"/>
  <c r="T57" s="1"/>
  <c r="G57"/>
  <c r="F57"/>
  <c r="E57"/>
  <c r="D57"/>
  <c r="P56"/>
  <c r="O56"/>
  <c r="N56"/>
  <c r="M56"/>
  <c r="L56"/>
  <c r="K56"/>
  <c r="U56" s="1"/>
  <c r="J56"/>
  <c r="I56"/>
  <c r="H56"/>
  <c r="G56"/>
  <c r="F56"/>
  <c r="E56"/>
  <c r="Q56" s="1"/>
  <c r="D56"/>
  <c r="P55"/>
  <c r="P60" s="1"/>
  <c r="O55"/>
  <c r="N55"/>
  <c r="N60" s="1"/>
  <c r="M55"/>
  <c r="L55"/>
  <c r="L60" s="1"/>
  <c r="K55"/>
  <c r="J55"/>
  <c r="J60" s="1"/>
  <c r="I55"/>
  <c r="H55"/>
  <c r="H60" s="1"/>
  <c r="G55"/>
  <c r="F55"/>
  <c r="F60" s="1"/>
  <c r="E55"/>
  <c r="D55"/>
  <c r="D60" s="1"/>
  <c r="P52"/>
  <c r="O52"/>
  <c r="N52"/>
  <c r="M52"/>
  <c r="L52"/>
  <c r="K52"/>
  <c r="U52" s="1"/>
  <c r="J52"/>
  <c r="I52"/>
  <c r="H52"/>
  <c r="G52"/>
  <c r="F52"/>
  <c r="E52"/>
  <c r="Q52" s="1"/>
  <c r="D52"/>
  <c r="P51"/>
  <c r="O51"/>
  <c r="N51"/>
  <c r="V51" s="1"/>
  <c r="M51"/>
  <c r="L51"/>
  <c r="K51"/>
  <c r="J51"/>
  <c r="I51"/>
  <c r="H51"/>
  <c r="T51" s="1"/>
  <c r="G51"/>
  <c r="F51"/>
  <c r="E51"/>
  <c r="D51"/>
  <c r="P50"/>
  <c r="O50"/>
  <c r="N50"/>
  <c r="M50"/>
  <c r="L50"/>
  <c r="K50"/>
  <c r="U50" s="1"/>
  <c r="J50"/>
  <c r="I50"/>
  <c r="H50"/>
  <c r="G50"/>
  <c r="F50"/>
  <c r="E50"/>
  <c r="Q50" s="1"/>
  <c r="D50"/>
  <c r="P49"/>
  <c r="O49"/>
  <c r="N49"/>
  <c r="V49" s="1"/>
  <c r="M49"/>
  <c r="L49"/>
  <c r="K49"/>
  <c r="J49"/>
  <c r="I49"/>
  <c r="H49"/>
  <c r="T49" s="1"/>
  <c r="G49"/>
  <c r="F49"/>
  <c r="E49"/>
  <c r="D49"/>
  <c r="P48"/>
  <c r="O48"/>
  <c r="O53" s="1"/>
  <c r="N48"/>
  <c r="M48"/>
  <c r="M53" s="1"/>
  <c r="L48"/>
  <c r="K48"/>
  <c r="K53" s="1"/>
  <c r="J48"/>
  <c r="I48"/>
  <c r="I53" s="1"/>
  <c r="H48"/>
  <c r="G48"/>
  <c r="G53" s="1"/>
  <c r="F48"/>
  <c r="E48"/>
  <c r="E53" s="1"/>
  <c r="D48"/>
  <c r="P44"/>
  <c r="O44"/>
  <c r="N44"/>
  <c r="V44" s="1"/>
  <c r="V45" s="1"/>
  <c r="M44"/>
  <c r="L44"/>
  <c r="K44"/>
  <c r="J44"/>
  <c r="I44"/>
  <c r="H44"/>
  <c r="T44" s="1"/>
  <c r="T45" s="1"/>
  <c r="G44"/>
  <c r="F44"/>
  <c r="E44"/>
  <c r="D44"/>
  <c r="D45" s="1"/>
  <c r="D39"/>
  <c r="P38"/>
  <c r="O38"/>
  <c r="N38"/>
  <c r="M38"/>
  <c r="L38"/>
  <c r="K38"/>
  <c r="J38"/>
  <c r="I38"/>
  <c r="H38"/>
  <c r="T38" s="1"/>
  <c r="G38"/>
  <c r="F38"/>
  <c r="E38"/>
  <c r="P37"/>
  <c r="O37"/>
  <c r="N37"/>
  <c r="V37" s="1"/>
  <c r="M37"/>
  <c r="L37"/>
  <c r="K37"/>
  <c r="J37"/>
  <c r="I37"/>
  <c r="H37"/>
  <c r="T37" s="1"/>
  <c r="G37"/>
  <c r="F37"/>
  <c r="E37"/>
  <c r="P36"/>
  <c r="O36"/>
  <c r="N36"/>
  <c r="V36" s="1"/>
  <c r="M36"/>
  <c r="L36"/>
  <c r="K36"/>
  <c r="J36"/>
  <c r="I36"/>
  <c r="H36"/>
  <c r="T36" s="1"/>
  <c r="G36"/>
  <c r="F36"/>
  <c r="E36"/>
  <c r="P35"/>
  <c r="O35"/>
  <c r="N35"/>
  <c r="V35" s="1"/>
  <c r="M35"/>
  <c r="L35"/>
  <c r="K35"/>
  <c r="J35"/>
  <c r="I35"/>
  <c r="H35"/>
  <c r="T35" s="1"/>
  <c r="G35"/>
  <c r="F35"/>
  <c r="E35"/>
  <c r="P34"/>
  <c r="P39" s="1"/>
  <c r="O21" i="7" s="1"/>
  <c r="O26" s="1"/>
  <c r="O34" i="12"/>
  <c r="O39" s="1"/>
  <c r="N21" i="7" s="1"/>
  <c r="N26" s="1"/>
  <c r="N34" i="12"/>
  <c r="V34" s="1"/>
  <c r="M34"/>
  <c r="M39" s="1"/>
  <c r="L21" i="7" s="1"/>
  <c r="L26" s="1"/>
  <c r="L34" i="12"/>
  <c r="L39" s="1"/>
  <c r="K21" i="7" s="1"/>
  <c r="K26" s="1"/>
  <c r="K34" i="12"/>
  <c r="K39" s="1"/>
  <c r="J34"/>
  <c r="J39" s="1"/>
  <c r="I21" i="7" s="1"/>
  <c r="I26" s="1"/>
  <c r="I34" i="12"/>
  <c r="I39" s="1"/>
  <c r="H21" i="7" s="1"/>
  <c r="H26" s="1"/>
  <c r="H34" i="12"/>
  <c r="T34" s="1"/>
  <c r="G34"/>
  <c r="G39" s="1"/>
  <c r="F21" i="7" s="1"/>
  <c r="F26" s="1"/>
  <c r="F34" i="12"/>
  <c r="F39" s="1"/>
  <c r="E21" i="7" s="1"/>
  <c r="E26" s="1"/>
  <c r="E34" i="12"/>
  <c r="E39" s="1"/>
  <c r="D21" i="7" s="1"/>
  <c r="D26" s="1"/>
  <c r="P31" i="12"/>
  <c r="O31"/>
  <c r="N31"/>
  <c r="V31" s="1"/>
  <c r="M31"/>
  <c r="L31"/>
  <c r="K31"/>
  <c r="J31"/>
  <c r="I31"/>
  <c r="H31"/>
  <c r="T31" s="1"/>
  <c r="G31"/>
  <c r="F31"/>
  <c r="E31"/>
  <c r="D31"/>
  <c r="P30"/>
  <c r="O30"/>
  <c r="N30"/>
  <c r="M30"/>
  <c r="L30"/>
  <c r="K30"/>
  <c r="U30" s="1"/>
  <c r="J30"/>
  <c r="I30"/>
  <c r="H30"/>
  <c r="G30"/>
  <c r="F30"/>
  <c r="E30"/>
  <c r="S30" s="1"/>
  <c r="D30"/>
  <c r="P29"/>
  <c r="O29"/>
  <c r="N29"/>
  <c r="V29" s="1"/>
  <c r="M29"/>
  <c r="L29"/>
  <c r="K29"/>
  <c r="J29"/>
  <c r="I29"/>
  <c r="H29"/>
  <c r="T29" s="1"/>
  <c r="G29"/>
  <c r="F29"/>
  <c r="E29"/>
  <c r="D29"/>
  <c r="P28"/>
  <c r="O28"/>
  <c r="N28"/>
  <c r="M28"/>
  <c r="L28"/>
  <c r="K28"/>
  <c r="U28" s="1"/>
  <c r="J28"/>
  <c r="I28"/>
  <c r="H28"/>
  <c r="G28"/>
  <c r="F28"/>
  <c r="E28"/>
  <c r="S28" s="1"/>
  <c r="P27"/>
  <c r="O27"/>
  <c r="N27"/>
  <c r="M27"/>
  <c r="L27"/>
  <c r="K27"/>
  <c r="J27"/>
  <c r="I27"/>
  <c r="H27"/>
  <c r="G27"/>
  <c r="F27"/>
  <c r="E27"/>
  <c r="P26"/>
  <c r="O26"/>
  <c r="N26"/>
  <c r="M26"/>
  <c r="L26"/>
  <c r="K26"/>
  <c r="J26"/>
  <c r="I26"/>
  <c r="H26"/>
  <c r="G26"/>
  <c r="F26"/>
  <c r="E26"/>
  <c r="D26"/>
  <c r="P25"/>
  <c r="O25"/>
  <c r="N25"/>
  <c r="V25" s="1"/>
  <c r="M25"/>
  <c r="L25"/>
  <c r="K25"/>
  <c r="J25"/>
  <c r="I25"/>
  <c r="H25"/>
  <c r="T25" s="1"/>
  <c r="G25"/>
  <c r="F25"/>
  <c r="E25"/>
  <c r="D25"/>
  <c r="P24"/>
  <c r="O24"/>
  <c r="N24"/>
  <c r="M24"/>
  <c r="L24"/>
  <c r="K24"/>
  <c r="U24" s="1"/>
  <c r="J24"/>
  <c r="I24"/>
  <c r="H24"/>
  <c r="G24"/>
  <c r="F24"/>
  <c r="E24"/>
  <c r="S24" s="1"/>
  <c r="P21"/>
  <c r="M16" i="13" s="1"/>
  <c r="O21" i="12"/>
  <c r="O32" s="1"/>
  <c r="N21"/>
  <c r="K16" i="13" s="1"/>
  <c r="M21" i="12"/>
  <c r="M32" s="1"/>
  <c r="L21"/>
  <c r="I16" i="13" s="1"/>
  <c r="K21" i="12"/>
  <c r="K32" s="1"/>
  <c r="J21"/>
  <c r="G16" i="13" s="1"/>
  <c r="I21" i="12"/>
  <c r="I32" s="1"/>
  <c r="H21"/>
  <c r="E16" i="13" s="1"/>
  <c r="G21" i="12"/>
  <c r="G32" s="1"/>
  <c r="F21"/>
  <c r="C16" i="13" s="1"/>
  <c r="E21" i="12"/>
  <c r="E32" s="1"/>
  <c r="D21"/>
  <c r="M18" i="11"/>
  <c r="J18"/>
  <c r="G18"/>
  <c r="D18"/>
  <c r="M34"/>
  <c r="L34"/>
  <c r="K34"/>
  <c r="J34"/>
  <c r="I34"/>
  <c r="H34"/>
  <c r="G34"/>
  <c r="F34"/>
  <c r="E34"/>
  <c r="D34"/>
  <c r="C34"/>
  <c r="B34"/>
  <c r="M33"/>
  <c r="L33"/>
  <c r="K33"/>
  <c r="J33"/>
  <c r="I33"/>
  <c r="H33"/>
  <c r="G33"/>
  <c r="F33"/>
  <c r="E33"/>
  <c r="D33"/>
  <c r="C33"/>
  <c r="B33"/>
  <c r="M35"/>
  <c r="L35"/>
  <c r="L36" s="1"/>
  <c r="M32" s="1"/>
  <c r="K35"/>
  <c r="J35"/>
  <c r="J36" s="1"/>
  <c r="K32" s="1"/>
  <c r="I35"/>
  <c r="H35"/>
  <c r="H36" s="1"/>
  <c r="I32" s="1"/>
  <c r="G35"/>
  <c r="F35"/>
  <c r="F36" s="1"/>
  <c r="G32" s="1"/>
  <c r="E35"/>
  <c r="D35"/>
  <c r="D36" s="1"/>
  <c r="E32" s="1"/>
  <c r="C35"/>
  <c r="B35"/>
  <c r="B36" s="1"/>
  <c r="C32" s="1"/>
  <c r="B32"/>
  <c r="C12" i="1"/>
  <c r="O52"/>
  <c r="N52"/>
  <c r="M52"/>
  <c r="L52"/>
  <c r="K52"/>
  <c r="J52"/>
  <c r="I52"/>
  <c r="H52"/>
  <c r="G52"/>
  <c r="F52"/>
  <c r="E52"/>
  <c r="D52"/>
  <c r="G25" i="4"/>
  <c r="G26"/>
  <c r="G27"/>
  <c r="H28"/>
  <c r="E71"/>
  <c r="F71"/>
  <c r="G71"/>
  <c r="H71"/>
  <c r="I71"/>
  <c r="J71"/>
  <c r="K71"/>
  <c r="L71"/>
  <c r="M71"/>
  <c r="N71"/>
  <c r="O71"/>
  <c r="P71"/>
  <c r="M21" i="11"/>
  <c r="P69" i="4"/>
  <c r="L21" i="11"/>
  <c r="O69" i="4"/>
  <c r="K21" i="11"/>
  <c r="N69" i="4"/>
  <c r="M69"/>
  <c r="L69"/>
  <c r="K69"/>
  <c r="J69"/>
  <c r="I69"/>
  <c r="H69"/>
  <c r="G69"/>
  <c r="F69"/>
  <c r="E69"/>
  <c r="M24" i="11"/>
  <c r="P70" i="4"/>
  <c r="L24" i="11"/>
  <c r="O70" i="4"/>
  <c r="K24" i="11"/>
  <c r="N70" i="4"/>
  <c r="J24" i="11"/>
  <c r="M70" i="4"/>
  <c r="I24" i="11"/>
  <c r="L70" i="4"/>
  <c r="H24" i="11"/>
  <c r="K70" i="4"/>
  <c r="G24" i="11"/>
  <c r="J70" i="4"/>
  <c r="F24" i="11"/>
  <c r="I70" i="4"/>
  <c r="E24" i="11"/>
  <c r="H70" i="4"/>
  <c r="D24" i="11"/>
  <c r="G70" i="4"/>
  <c r="C24" i="11"/>
  <c r="F70" i="4"/>
  <c r="B24" i="11"/>
  <c r="E70" i="4"/>
  <c r="F17"/>
  <c r="G17"/>
  <c r="H17"/>
  <c r="I17"/>
  <c r="J17"/>
  <c r="K17"/>
  <c r="L17"/>
  <c r="M17"/>
  <c r="N17"/>
  <c r="O17"/>
  <c r="P17"/>
  <c r="J21" i="11"/>
  <c r="B21"/>
  <c r="C21"/>
  <c r="D21"/>
  <c r="E21"/>
  <c r="F21"/>
  <c r="G21"/>
  <c r="H21"/>
  <c r="I21"/>
  <c r="N24"/>
  <c r="B26"/>
  <c r="C26"/>
  <c r="D26"/>
  <c r="E26"/>
  <c r="F26"/>
  <c r="G26"/>
  <c r="H26"/>
  <c r="I26"/>
  <c r="J26"/>
  <c r="K26"/>
  <c r="L26"/>
  <c r="M26"/>
  <c r="N15"/>
  <c r="N16"/>
  <c r="N17"/>
  <c r="N18"/>
  <c r="H5" i="2"/>
  <c r="E2" i="4" s="1"/>
  <c r="I5" i="2"/>
  <c r="F2" i="4" s="1"/>
  <c r="F95" s="1"/>
  <c r="J5" i="2"/>
  <c r="G2" i="4" s="1"/>
  <c r="K5" i="2"/>
  <c r="H2" i="4" s="1"/>
  <c r="H68" s="1"/>
  <c r="L5" i="2"/>
  <c r="I2" i="4" s="1"/>
  <c r="M5" i="2"/>
  <c r="J2" i="4" s="1"/>
  <c r="J95" s="1"/>
  <c r="N5" i="2"/>
  <c r="K2" i="4" s="1"/>
  <c r="O5" i="2"/>
  <c r="L2" i="4" s="1"/>
  <c r="L68" s="1"/>
  <c r="P5" i="2"/>
  <c r="M2" i="4" s="1"/>
  <c r="Q5" i="2"/>
  <c r="N2" i="4" s="1"/>
  <c r="N95" s="1"/>
  <c r="R5" i="2"/>
  <c r="O2" i="4" s="1"/>
  <c r="S5" i="2"/>
  <c r="P2" i="4" s="1"/>
  <c r="P68" s="1"/>
  <c r="Q70"/>
  <c r="H23" i="2"/>
  <c r="I23"/>
  <c r="J23"/>
  <c r="K23"/>
  <c r="L23"/>
  <c r="M23"/>
  <c r="N23"/>
  <c r="O23"/>
  <c r="P23"/>
  <c r="Q23"/>
  <c r="R23"/>
  <c r="S23"/>
  <c r="T23" s="1"/>
  <c r="H39"/>
  <c r="I39"/>
  <c r="J39"/>
  <c r="K39"/>
  <c r="L39"/>
  <c r="M39"/>
  <c r="N39"/>
  <c r="O39"/>
  <c r="P39"/>
  <c r="Q39"/>
  <c r="R39"/>
  <c r="S39"/>
  <c r="T39" s="1"/>
  <c r="H38"/>
  <c r="I38"/>
  <c r="J38"/>
  <c r="K38"/>
  <c r="L38"/>
  <c r="M38"/>
  <c r="N38"/>
  <c r="O38"/>
  <c r="P38"/>
  <c r="Q38"/>
  <c r="R38"/>
  <c r="S38"/>
  <c r="T38" s="1"/>
  <c r="H37"/>
  <c r="I37"/>
  <c r="J37"/>
  <c r="K37"/>
  <c r="L37"/>
  <c r="M37"/>
  <c r="N37"/>
  <c r="O37"/>
  <c r="P37"/>
  <c r="Q37"/>
  <c r="R37"/>
  <c r="S37"/>
  <c r="T37" s="1"/>
  <c r="H36"/>
  <c r="I36"/>
  <c r="J36"/>
  <c r="K36"/>
  <c r="L36"/>
  <c r="M36"/>
  <c r="N36"/>
  <c r="O36"/>
  <c r="P36"/>
  <c r="Q36"/>
  <c r="R36"/>
  <c r="S36"/>
  <c r="T36" s="1"/>
  <c r="H35"/>
  <c r="I35"/>
  <c r="J35"/>
  <c r="K35"/>
  <c r="L35"/>
  <c r="M35"/>
  <c r="N35"/>
  <c r="O35"/>
  <c r="P35"/>
  <c r="Q35"/>
  <c r="R35"/>
  <c r="S35"/>
  <c r="T35" s="1"/>
  <c r="H34"/>
  <c r="I34"/>
  <c r="J34"/>
  <c r="K34"/>
  <c r="L34"/>
  <c r="M34"/>
  <c r="N34"/>
  <c r="O34"/>
  <c r="P34"/>
  <c r="Q34"/>
  <c r="R34"/>
  <c r="S34"/>
  <c r="T34" s="1"/>
  <c r="H33"/>
  <c r="I33"/>
  <c r="J33"/>
  <c r="K33"/>
  <c r="L33"/>
  <c r="M33"/>
  <c r="N33"/>
  <c r="O33"/>
  <c r="P33"/>
  <c r="Q33"/>
  <c r="R33"/>
  <c r="S33"/>
  <c r="T33" s="1"/>
  <c r="H32"/>
  <c r="I32"/>
  <c r="J32"/>
  <c r="K32"/>
  <c r="L32"/>
  <c r="M32"/>
  <c r="N32"/>
  <c r="O32"/>
  <c r="P32"/>
  <c r="Q32"/>
  <c r="R32"/>
  <c r="S32"/>
  <c r="T32" s="1"/>
  <c r="H31"/>
  <c r="I31"/>
  <c r="J31"/>
  <c r="K31"/>
  <c r="L31"/>
  <c r="M31"/>
  <c r="N31"/>
  <c r="O31"/>
  <c r="P31"/>
  <c r="Q31"/>
  <c r="R31"/>
  <c r="S31"/>
  <c r="T31" s="1"/>
  <c r="H30"/>
  <c r="I30"/>
  <c r="J30"/>
  <c r="K30"/>
  <c r="L30"/>
  <c r="M30"/>
  <c r="N30"/>
  <c r="O30"/>
  <c r="P30"/>
  <c r="Q30"/>
  <c r="R30"/>
  <c r="S30"/>
  <c r="T30" s="1"/>
  <c r="H29"/>
  <c r="I29"/>
  <c r="J29"/>
  <c r="K29"/>
  <c r="L29"/>
  <c r="M29"/>
  <c r="N29"/>
  <c r="O29"/>
  <c r="P29"/>
  <c r="Q29"/>
  <c r="R29"/>
  <c r="S29"/>
  <c r="T29" s="1"/>
  <c r="H28"/>
  <c r="I28"/>
  <c r="J28"/>
  <c r="K28"/>
  <c r="L28"/>
  <c r="M28"/>
  <c r="N28"/>
  <c r="O28"/>
  <c r="P28"/>
  <c r="Q28"/>
  <c r="R28"/>
  <c r="S28"/>
  <c r="T28" s="1"/>
  <c r="H27"/>
  <c r="I27"/>
  <c r="J27"/>
  <c r="K27"/>
  <c r="L27"/>
  <c r="M27"/>
  <c r="N27"/>
  <c r="O27"/>
  <c r="P27"/>
  <c r="Q27"/>
  <c r="R27"/>
  <c r="S27"/>
  <c r="T27" s="1"/>
  <c r="H26"/>
  <c r="I26"/>
  <c r="J26"/>
  <c r="K26"/>
  <c r="L26"/>
  <c r="M26"/>
  <c r="N26"/>
  <c r="O26"/>
  <c r="P26"/>
  <c r="Q26"/>
  <c r="R26"/>
  <c r="S26"/>
  <c r="T26" s="1"/>
  <c r="H25"/>
  <c r="I25"/>
  <c r="J25"/>
  <c r="K25"/>
  <c r="L25"/>
  <c r="M25"/>
  <c r="N25"/>
  <c r="O25"/>
  <c r="P25"/>
  <c r="Q25"/>
  <c r="R25"/>
  <c r="S25"/>
  <c r="T25" s="1"/>
  <c r="H24"/>
  <c r="I24"/>
  <c r="J24"/>
  <c r="K24"/>
  <c r="L24"/>
  <c r="M24"/>
  <c r="N24"/>
  <c r="O24"/>
  <c r="P24"/>
  <c r="Q24"/>
  <c r="R24"/>
  <c r="S24"/>
  <c r="T24" s="1"/>
  <c r="D4" i="1"/>
  <c r="D3"/>
  <c r="D62" s="1"/>
  <c r="C29" i="9" s="1"/>
  <c r="N65" i="4"/>
  <c r="J65"/>
  <c r="F65"/>
  <c r="F66" s="1"/>
  <c r="E21" i="1" s="1"/>
  <c r="E19" i="4"/>
  <c r="D22" i="1" s="1"/>
  <c r="F18" i="4"/>
  <c r="F19" s="1"/>
  <c r="E19" i="1"/>
  <c r="G18" i="4"/>
  <c r="F19" i="1"/>
  <c r="H33" i="4"/>
  <c r="H18"/>
  <c r="G19" i="1"/>
  <c r="I35" i="4"/>
  <c r="I36"/>
  <c r="I37"/>
  <c r="I18"/>
  <c r="I19" s="1"/>
  <c r="H19" i="1"/>
  <c r="J38" i="4"/>
  <c r="J39"/>
  <c r="J40"/>
  <c r="J66"/>
  <c r="I21" i="1" s="1"/>
  <c r="J18" i="4"/>
  <c r="I19" i="1"/>
  <c r="K41" i="4"/>
  <c r="K18"/>
  <c r="K19" s="1"/>
  <c r="L42"/>
  <c r="L43"/>
  <c r="L44"/>
  <c r="L18"/>
  <c r="K19" i="1"/>
  <c r="M45" i="4"/>
  <c r="M46"/>
  <c r="M18"/>
  <c r="L19" i="1"/>
  <c r="N47" i="4"/>
  <c r="N48"/>
  <c r="N18"/>
  <c r="M19" i="1"/>
  <c r="O49" i="4"/>
  <c r="O50"/>
  <c r="O51"/>
  <c r="O52"/>
  <c r="O53"/>
  <c r="O55"/>
  <c r="O56"/>
  <c r="O18"/>
  <c r="O19" s="1"/>
  <c r="N19" i="1"/>
  <c r="P57" i="4"/>
  <c r="P58"/>
  <c r="P59"/>
  <c r="P18"/>
  <c r="U39" i="2"/>
  <c r="W39" s="1"/>
  <c r="Y39" s="1"/>
  <c r="AA39" s="1"/>
  <c r="U38"/>
  <c r="W38" s="1"/>
  <c r="Y38" s="1"/>
  <c r="AA38" s="1"/>
  <c r="U37"/>
  <c r="W37" s="1"/>
  <c r="Y37" s="1"/>
  <c r="AA37" s="1"/>
  <c r="U36"/>
  <c r="W36" s="1"/>
  <c r="Y36" s="1"/>
  <c r="AA36" s="1"/>
  <c r="U35"/>
  <c r="W35" s="1"/>
  <c r="Y35" s="1"/>
  <c r="AA35" s="1"/>
  <c r="U34"/>
  <c r="W34" s="1"/>
  <c r="Y34" s="1"/>
  <c r="AA34" s="1"/>
  <c r="U33"/>
  <c r="W33" s="1"/>
  <c r="Y33" s="1"/>
  <c r="AA33" s="1"/>
  <c r="U32"/>
  <c r="W32" s="1"/>
  <c r="Y32" s="1"/>
  <c r="AA32" s="1"/>
  <c r="U31"/>
  <c r="W31" s="1"/>
  <c r="Y31" s="1"/>
  <c r="AA31" s="1"/>
  <c r="U30"/>
  <c r="W30" s="1"/>
  <c r="Y30" s="1"/>
  <c r="AA30" s="1"/>
  <c r="U29"/>
  <c r="W29" s="1"/>
  <c r="Y29" s="1"/>
  <c r="AA29" s="1"/>
  <c r="U28"/>
  <c r="W28" s="1"/>
  <c r="Y28" s="1"/>
  <c r="AA28" s="1"/>
  <c r="U27"/>
  <c r="W27" s="1"/>
  <c r="Y27" s="1"/>
  <c r="AA27" s="1"/>
  <c r="U26"/>
  <c r="W26" s="1"/>
  <c r="Y26" s="1"/>
  <c r="AA26" s="1"/>
  <c r="U25"/>
  <c r="W25" s="1"/>
  <c r="Y25" s="1"/>
  <c r="AA25" s="1"/>
  <c r="U24"/>
  <c r="W24" s="1"/>
  <c r="Y24" s="1"/>
  <c r="AA24" s="1"/>
  <c r="U23"/>
  <c r="W23" s="1"/>
  <c r="Y23" s="1"/>
  <c r="AA23" s="1"/>
  <c r="Q64" i="4"/>
  <c r="R18"/>
  <c r="P76"/>
  <c r="M76"/>
  <c r="J76"/>
  <c r="G76"/>
  <c r="R71"/>
  <c r="R70"/>
  <c r="R69"/>
  <c r="U43" i="2"/>
  <c r="W43" s="1"/>
  <c r="Y43" s="1"/>
  <c r="AA43" s="1"/>
  <c r="H43"/>
  <c r="I43" s="1"/>
  <c r="J43" s="1"/>
  <c r="K43" s="1"/>
  <c r="L43" s="1"/>
  <c r="M43" s="1"/>
  <c r="N43"/>
  <c r="H7"/>
  <c r="H8"/>
  <c r="H9"/>
  <c r="I9" s="1"/>
  <c r="J9" s="1"/>
  <c r="K9" s="1"/>
  <c r="L9" s="1"/>
  <c r="M9" s="1"/>
  <c r="N9" s="1"/>
  <c r="O9" s="1"/>
  <c r="P9" s="1"/>
  <c r="Q9" s="1"/>
  <c r="R9" s="1"/>
  <c r="S9" s="1"/>
  <c r="H10"/>
  <c r="H11"/>
  <c r="H12"/>
  <c r="H13"/>
  <c r="I13" s="1"/>
  <c r="J13" s="1"/>
  <c r="K13" s="1"/>
  <c r="L13" s="1"/>
  <c r="M13" s="1"/>
  <c r="N13" s="1"/>
  <c r="O13" s="1"/>
  <c r="P13" s="1"/>
  <c r="Q13" s="1"/>
  <c r="R13" s="1"/>
  <c r="S13" s="1"/>
  <c r="H14"/>
  <c r="H15"/>
  <c r="H16"/>
  <c r="H17"/>
  <c r="I17" s="1"/>
  <c r="J17" s="1"/>
  <c r="K17" s="1"/>
  <c r="L17" s="1"/>
  <c r="M17" s="1"/>
  <c r="N17" s="1"/>
  <c r="O17" s="1"/>
  <c r="P17" s="1"/>
  <c r="Q17" s="1"/>
  <c r="R17" s="1"/>
  <c r="S17" s="1"/>
  <c r="H18"/>
  <c r="H19"/>
  <c r="H20"/>
  <c r="H44"/>
  <c r="I44" s="1"/>
  <c r="J44" s="1"/>
  <c r="K44" s="1"/>
  <c r="L44" s="1"/>
  <c r="M44" s="1"/>
  <c r="N44" s="1"/>
  <c r="O44" s="1"/>
  <c r="P44" s="1"/>
  <c r="Q44" s="1"/>
  <c r="R44" s="1"/>
  <c r="S44" s="1"/>
  <c r="H45"/>
  <c r="H46"/>
  <c r="H47"/>
  <c r="H48"/>
  <c r="I48" s="1"/>
  <c r="J48" s="1"/>
  <c r="K48" s="1"/>
  <c r="L48" s="1"/>
  <c r="M48" s="1"/>
  <c r="N48" s="1"/>
  <c r="O48" s="1"/>
  <c r="P48" s="1"/>
  <c r="Q48" s="1"/>
  <c r="R48" s="1"/>
  <c r="S48" s="1"/>
  <c r="H49"/>
  <c r="H50"/>
  <c r="H51"/>
  <c r="H52"/>
  <c r="I52" s="1"/>
  <c r="J52" s="1"/>
  <c r="K52" s="1"/>
  <c r="L52" s="1"/>
  <c r="M52" s="1"/>
  <c r="N52" s="1"/>
  <c r="O52" s="1"/>
  <c r="P52" s="1"/>
  <c r="Q52" s="1"/>
  <c r="R52" s="1"/>
  <c r="S52" s="1"/>
  <c r="H53"/>
  <c r="F56"/>
  <c r="H56" s="1"/>
  <c r="F57"/>
  <c r="H57" s="1"/>
  <c r="F58"/>
  <c r="H58" s="1"/>
  <c r="H61"/>
  <c r="H62"/>
  <c r="H63"/>
  <c r="I63" s="1"/>
  <c r="J63" s="1"/>
  <c r="K63" s="1"/>
  <c r="L63" s="1"/>
  <c r="M63" s="1"/>
  <c r="N63" s="1"/>
  <c r="O63" s="1"/>
  <c r="P63" s="1"/>
  <c r="Q63" s="1"/>
  <c r="R63" s="1"/>
  <c r="S63" s="1"/>
  <c r="H64"/>
  <c r="C27" i="1"/>
  <c r="C28"/>
  <c r="D40"/>
  <c r="E30"/>
  <c r="E31"/>
  <c r="E33"/>
  <c r="E35"/>
  <c r="E38"/>
  <c r="E40"/>
  <c r="E42"/>
  <c r="E47"/>
  <c r="E50"/>
  <c r="F50" s="1"/>
  <c r="G50" s="1"/>
  <c r="H50" s="1"/>
  <c r="I50" s="1"/>
  <c r="J50" s="1"/>
  <c r="K50" s="1"/>
  <c r="L50" s="1"/>
  <c r="M50" s="1"/>
  <c r="N50" s="1"/>
  <c r="O50" s="1"/>
  <c r="E51"/>
  <c r="F30"/>
  <c r="F31"/>
  <c r="F33"/>
  <c r="G33" s="1"/>
  <c r="H33" s="1"/>
  <c r="F35"/>
  <c r="F38"/>
  <c r="F40"/>
  <c r="F42"/>
  <c r="F47"/>
  <c r="F48"/>
  <c r="F51"/>
  <c r="G30"/>
  <c r="G31"/>
  <c r="G34"/>
  <c r="G35"/>
  <c r="G38"/>
  <c r="G40"/>
  <c r="G42"/>
  <c r="G47"/>
  <c r="G48"/>
  <c r="G51"/>
  <c r="H30"/>
  <c r="H31"/>
  <c r="H34"/>
  <c r="H35"/>
  <c r="H38"/>
  <c r="I38" s="1"/>
  <c r="J38" s="1"/>
  <c r="K38" s="1"/>
  <c r="L38" s="1"/>
  <c r="M38" s="1"/>
  <c r="N38" s="1"/>
  <c r="O38" s="1"/>
  <c r="H40"/>
  <c r="H42"/>
  <c r="I42" s="1"/>
  <c r="J42" s="1"/>
  <c r="K42" s="1"/>
  <c r="L42" s="1"/>
  <c r="M42" s="1"/>
  <c r="N42" s="1"/>
  <c r="O42" s="1"/>
  <c r="H47"/>
  <c r="H48"/>
  <c r="I48" s="1"/>
  <c r="J48" s="1"/>
  <c r="K48" s="1"/>
  <c r="L48" s="1"/>
  <c r="M48" s="1"/>
  <c r="N48" s="1"/>
  <c r="O48" s="1"/>
  <c r="H51"/>
  <c r="I51" s="1"/>
  <c r="J51" s="1"/>
  <c r="K51" s="1"/>
  <c r="L51" s="1"/>
  <c r="M51" s="1"/>
  <c r="N51" s="1"/>
  <c r="O51" s="1"/>
  <c r="I30"/>
  <c r="I31"/>
  <c r="I33"/>
  <c r="J33" s="1"/>
  <c r="K33" s="1"/>
  <c r="L33" s="1"/>
  <c r="M33" s="1"/>
  <c r="N33" s="1"/>
  <c r="O33" s="1"/>
  <c r="I34"/>
  <c r="I35"/>
  <c r="J35" s="1"/>
  <c r="K35" s="1"/>
  <c r="L35" s="1"/>
  <c r="M35" s="1"/>
  <c r="N35" s="1"/>
  <c r="O35" s="1"/>
  <c r="I40"/>
  <c r="I47"/>
  <c r="J47" s="1"/>
  <c r="K47" s="1"/>
  <c r="L47" s="1"/>
  <c r="M47" s="1"/>
  <c r="N47" s="1"/>
  <c r="O47" s="1"/>
  <c r="J30"/>
  <c r="J31"/>
  <c r="J40"/>
  <c r="K30"/>
  <c r="K31"/>
  <c r="K34"/>
  <c r="L34" s="1"/>
  <c r="K40"/>
  <c r="L30"/>
  <c r="L31"/>
  <c r="L40"/>
  <c r="M30"/>
  <c r="M31"/>
  <c r="M40"/>
  <c r="N30"/>
  <c r="N31"/>
  <c r="N40"/>
  <c r="O30"/>
  <c r="O31"/>
  <c r="O40"/>
  <c r="P20" i="8"/>
  <c r="Q28" i="4"/>
  <c r="Q27"/>
  <c r="Q25"/>
  <c r="C4" i="3"/>
  <c r="J19" i="1" s="1"/>
  <c r="C7" i="3"/>
  <c r="O19" i="1" s="1"/>
  <c r="H47" i="7"/>
  <c r="O47"/>
  <c r="D47"/>
  <c r="M47"/>
  <c r="N47"/>
  <c r="E47"/>
  <c r="K47"/>
  <c r="J47"/>
  <c r="L47"/>
  <c r="F47"/>
  <c r="I47"/>
  <c r="G47"/>
  <c r="R16" i="4"/>
  <c r="P96" s="1"/>
  <c r="N15" i="8" s="1"/>
  <c r="D22" i="3"/>
  <c r="D19"/>
  <c r="D7"/>
  <c r="D21"/>
  <c r="D29"/>
  <c r="D25"/>
  <c r="D27"/>
  <c r="Y13" i="9"/>
  <c r="U48" i="2"/>
  <c r="W48" s="1"/>
  <c r="Y48" s="1"/>
  <c r="AA48" s="1"/>
  <c r="U44"/>
  <c r="W44" s="1"/>
  <c r="Y44" s="1"/>
  <c r="AA44" s="1"/>
  <c r="U45"/>
  <c r="W45" s="1"/>
  <c r="Y45" s="1"/>
  <c r="AA45" s="1"/>
  <c r="U46"/>
  <c r="W46" s="1"/>
  <c r="Y46" s="1"/>
  <c r="AA46" s="1"/>
  <c r="U47"/>
  <c r="W47" s="1"/>
  <c r="Y47" s="1"/>
  <c r="AA47" s="1"/>
  <c r="U49"/>
  <c r="W49" s="1"/>
  <c r="Y49" s="1"/>
  <c r="AA49" s="1"/>
  <c r="U50"/>
  <c r="W50" s="1"/>
  <c r="Y50" s="1"/>
  <c r="AA50" s="1"/>
  <c r="U52"/>
  <c r="W52" s="1"/>
  <c r="Y52" s="1"/>
  <c r="AA52" s="1"/>
  <c r="U53"/>
  <c r="W53" s="1"/>
  <c r="Y53" s="1"/>
  <c r="AA53" s="1"/>
  <c r="U51"/>
  <c r="W51" s="1"/>
  <c r="Y51" s="1"/>
  <c r="AA51" s="1"/>
  <c r="U11"/>
  <c r="W11" s="1"/>
  <c r="Y11" s="1"/>
  <c r="AA11" s="1"/>
  <c r="U12"/>
  <c r="W12" s="1"/>
  <c r="Y12" s="1"/>
  <c r="AA12" s="1"/>
  <c r="U13"/>
  <c r="W13" s="1"/>
  <c r="Y13" s="1"/>
  <c r="AA13" s="1"/>
  <c r="U14"/>
  <c r="W14" s="1"/>
  <c r="Y14" s="1"/>
  <c r="AA14" s="1"/>
  <c r="U15"/>
  <c r="W15" s="1"/>
  <c r="Y15" s="1"/>
  <c r="AA15" s="1"/>
  <c r="U16"/>
  <c r="W16" s="1"/>
  <c r="Y16" s="1"/>
  <c r="AA16" s="1"/>
  <c r="U17"/>
  <c r="W17" s="1"/>
  <c r="Y17" s="1"/>
  <c r="AA17" s="1"/>
  <c r="U18"/>
  <c r="W18" s="1"/>
  <c r="Y18" s="1"/>
  <c r="AA18" s="1"/>
  <c r="U19"/>
  <c r="W19" s="1"/>
  <c r="Y19" s="1"/>
  <c r="AA19" s="1"/>
  <c r="U20"/>
  <c r="W20" s="1"/>
  <c r="Y20" s="1"/>
  <c r="AA20" s="1"/>
  <c r="S13" i="9"/>
  <c r="M13"/>
  <c r="G13"/>
  <c r="Q52" i="4"/>
  <c r="Q53"/>
  <c r="Q38"/>
  <c r="Q32"/>
  <c r="H91"/>
  <c r="G91"/>
  <c r="F91"/>
  <c r="E91"/>
  <c r="I91"/>
  <c r="E93"/>
  <c r="F93"/>
  <c r="I93" s="1"/>
  <c r="G93"/>
  <c r="H93"/>
  <c r="Q30"/>
  <c r="Q80"/>
  <c r="Q62"/>
  <c r="Q35"/>
  <c r="Q51"/>
  <c r="Q50"/>
  <c r="T13"/>
  <c r="T15" s="1"/>
  <c r="Q7"/>
  <c r="Q34"/>
  <c r="R19"/>
  <c r="Q10"/>
  <c r="Q13"/>
  <c r="Q12"/>
  <c r="Q59"/>
  <c r="Q58"/>
  <c r="Q60"/>
  <c r="Q57"/>
  <c r="Q42"/>
  <c r="Q46"/>
  <c r="Q45"/>
  <c r="Q44"/>
  <c r="Q43"/>
  <c r="Q41"/>
  <c r="Q40"/>
  <c r="Q39"/>
  <c r="Q37"/>
  <c r="C46" i="7"/>
  <c r="C45"/>
  <c r="C42"/>
  <c r="C41"/>
  <c r="C40"/>
  <c r="C39"/>
  <c r="C38"/>
  <c r="C37"/>
  <c r="C36"/>
  <c r="C34"/>
  <c r="C33"/>
  <c r="C32"/>
  <c r="C31"/>
  <c r="U64" i="2"/>
  <c r="W64" s="1"/>
  <c r="Y64" s="1"/>
  <c r="AA64" s="1"/>
  <c r="U63"/>
  <c r="W63" s="1"/>
  <c r="Y63" s="1"/>
  <c r="AA63" s="1"/>
  <c r="U62"/>
  <c r="W62" s="1"/>
  <c r="Y62" s="1"/>
  <c r="AA62" s="1"/>
  <c r="U61"/>
  <c r="W61" s="1"/>
  <c r="Y61" s="1"/>
  <c r="AA61" s="1"/>
  <c r="U58"/>
  <c r="W58" s="1"/>
  <c r="Y58" s="1"/>
  <c r="AA58" s="1"/>
  <c r="U57"/>
  <c r="W57" s="1"/>
  <c r="Y57" s="1"/>
  <c r="AA57" s="1"/>
  <c r="U56"/>
  <c r="W56" s="1"/>
  <c r="Y56" s="1"/>
  <c r="AA56" s="1"/>
  <c r="U10"/>
  <c r="W10" s="1"/>
  <c r="Y10" s="1"/>
  <c r="AA10" s="1"/>
  <c r="U9"/>
  <c r="W9" s="1"/>
  <c r="Y9" s="1"/>
  <c r="AA9" s="1"/>
  <c r="U8"/>
  <c r="W8" s="1"/>
  <c r="Y8" s="1"/>
  <c r="AA8" s="1"/>
  <c r="U7"/>
  <c r="W7" s="1"/>
  <c r="N68" i="4"/>
  <c r="J68"/>
  <c r="F68"/>
  <c r="E68"/>
  <c r="E23"/>
  <c r="C19"/>
  <c r="C14" i="3"/>
  <c r="C38" s="1"/>
  <c r="Q18" i="4"/>
  <c r="C63" i="9"/>
  <c r="D63" s="1"/>
  <c r="E63" s="1"/>
  <c r="F63" s="1"/>
  <c r="G63" s="1"/>
  <c r="G61"/>
  <c r="F61"/>
  <c r="E61"/>
  <c r="D61"/>
  <c r="C61"/>
  <c r="O9"/>
  <c r="U9" s="1"/>
  <c r="R9"/>
  <c r="X9"/>
  <c r="AD9" s="1"/>
  <c r="Q9"/>
  <c r="W9"/>
  <c r="P9"/>
  <c r="V9"/>
  <c r="AB9" s="1"/>
  <c r="AC9"/>
  <c r="AE12"/>
  <c r="AE13"/>
  <c r="Y12"/>
  <c r="S12"/>
  <c r="M12"/>
  <c r="M9"/>
  <c r="G12"/>
  <c r="G9"/>
  <c r="Q8" i="4"/>
  <c r="P16" i="8"/>
  <c r="P95" i="4"/>
  <c r="L95"/>
  <c r="H95"/>
  <c r="E95"/>
  <c r="C66"/>
  <c r="D37" i="3"/>
  <c r="Q33" i="4"/>
  <c r="Q5"/>
  <c r="Q4"/>
  <c r="Q6"/>
  <c r="Q14"/>
  <c r="Q9"/>
  <c r="Q31"/>
  <c r="Q29"/>
  <c r="Q16"/>
  <c r="Q15"/>
  <c r="Q11"/>
  <c r="Q63"/>
  <c r="Q61"/>
  <c r="Q56"/>
  <c r="Q55"/>
  <c r="Q54"/>
  <c r="Q49"/>
  <c r="Q48"/>
  <c r="Q47"/>
  <c r="Q36"/>
  <c r="Q26"/>
  <c r="Q3"/>
  <c r="O30" i="7"/>
  <c r="N30"/>
  <c r="M30"/>
  <c r="L30"/>
  <c r="K30"/>
  <c r="J30"/>
  <c r="I30"/>
  <c r="H30"/>
  <c r="G30"/>
  <c r="F30"/>
  <c r="E30"/>
  <c r="D30"/>
  <c r="O6"/>
  <c r="N6"/>
  <c r="M6"/>
  <c r="L6"/>
  <c r="K6"/>
  <c r="J6"/>
  <c r="I6"/>
  <c r="H6"/>
  <c r="G6"/>
  <c r="F6"/>
  <c r="E6"/>
  <c r="D6"/>
  <c r="O2"/>
  <c r="N2"/>
  <c r="M2"/>
  <c r="L2"/>
  <c r="K2"/>
  <c r="J2"/>
  <c r="I2"/>
  <c r="H2"/>
  <c r="G2"/>
  <c r="F2"/>
  <c r="E2"/>
  <c r="D2"/>
  <c r="P47"/>
  <c r="P46"/>
  <c r="P45"/>
  <c r="P44"/>
  <c r="P43"/>
  <c r="P42"/>
  <c r="P40"/>
  <c r="P39"/>
  <c r="P38"/>
  <c r="P37"/>
  <c r="P36"/>
  <c r="P34"/>
  <c r="P33"/>
  <c r="P32"/>
  <c r="P31"/>
  <c r="P25"/>
  <c r="P24"/>
  <c r="P23"/>
  <c r="P19"/>
  <c r="P18"/>
  <c r="P16"/>
  <c r="P15"/>
  <c r="P14"/>
  <c r="P13"/>
  <c r="P12"/>
  <c r="P10"/>
  <c r="P9"/>
  <c r="P8"/>
  <c r="P7"/>
  <c r="Q24" i="4"/>
  <c r="P23"/>
  <c r="O24" i="1"/>
  <c r="N24"/>
  <c r="M24"/>
  <c r="L24"/>
  <c r="K24"/>
  <c r="J24"/>
  <c r="I24"/>
  <c r="H24"/>
  <c r="A66" i="4"/>
  <c r="J23"/>
  <c r="F23"/>
  <c r="D24" i="1"/>
  <c r="E24"/>
  <c r="F24"/>
  <c r="G24"/>
  <c r="D38" i="3" l="1"/>
  <c r="D4"/>
  <c r="N21" i="11"/>
  <c r="M19" i="4"/>
  <c r="E3" i="7"/>
  <c r="E49" i="1" s="1"/>
  <c r="I3" i="7"/>
  <c r="I49" i="1" s="1"/>
  <c r="K3" i="7"/>
  <c r="K49" i="1" s="1"/>
  <c r="O3" i="7"/>
  <c r="O49" i="1" s="1"/>
  <c r="S95" i="12"/>
  <c r="N26" i="11"/>
  <c r="D3" i="7"/>
  <c r="D49" i="1" s="1"/>
  <c r="F3" i="7"/>
  <c r="F49" i="1" s="1"/>
  <c r="L3" i="7"/>
  <c r="L49" i="1" s="1"/>
  <c r="N3" i="7"/>
  <c r="N49" i="1" s="1"/>
  <c r="B16" i="13"/>
  <c r="L16"/>
  <c r="T16" s="1"/>
  <c r="J16"/>
  <c r="H16"/>
  <c r="F16"/>
  <c r="D16"/>
  <c r="R16"/>
  <c r="F61" i="2"/>
  <c r="F62" s="1"/>
  <c r="U86" i="12"/>
  <c r="S87"/>
  <c r="U87"/>
  <c r="Q88"/>
  <c r="G45"/>
  <c r="I45"/>
  <c r="M45"/>
  <c r="O45"/>
  <c r="U88"/>
  <c r="S91"/>
  <c r="Q92"/>
  <c r="F45"/>
  <c r="H45"/>
  <c r="J45"/>
  <c r="L45"/>
  <c r="N45"/>
  <c r="P45"/>
  <c r="U26"/>
  <c r="Q27"/>
  <c r="U27"/>
  <c r="E45"/>
  <c r="K45"/>
  <c r="M34" i="1"/>
  <c r="N34" s="1"/>
  <c r="O34" s="1"/>
  <c r="H65" i="4"/>
  <c r="H66" s="1"/>
  <c r="G21" i="1" s="1"/>
  <c r="L65" i="4"/>
  <c r="P65"/>
  <c r="H23"/>
  <c r="L23"/>
  <c r="N23"/>
  <c r="C8" i="8"/>
  <c r="M50" i="2"/>
  <c r="N50" s="1"/>
  <c r="O50" s="1"/>
  <c r="P50" s="1"/>
  <c r="Q50" s="1"/>
  <c r="R50" s="1"/>
  <c r="S50" s="1"/>
  <c r="I61"/>
  <c r="J61" s="1"/>
  <c r="K61" s="1"/>
  <c r="L61" s="1"/>
  <c r="M61" s="1"/>
  <c r="N61" s="1"/>
  <c r="O61" s="1"/>
  <c r="P61" s="1"/>
  <c r="Q61" s="1"/>
  <c r="R61" s="1"/>
  <c r="S61" s="1"/>
  <c r="I50"/>
  <c r="J50" s="1"/>
  <c r="K50" s="1"/>
  <c r="L50" s="1"/>
  <c r="I46"/>
  <c r="J46" s="1"/>
  <c r="K46" s="1"/>
  <c r="L46" s="1"/>
  <c r="M46" s="1"/>
  <c r="N46" s="1"/>
  <c r="O46" s="1"/>
  <c r="P46" s="1"/>
  <c r="Q46" s="1"/>
  <c r="R46" s="1"/>
  <c r="S46" s="1"/>
  <c r="I19"/>
  <c r="J19" s="1"/>
  <c r="K19" s="1"/>
  <c r="L19" s="1"/>
  <c r="M19" s="1"/>
  <c r="N19" s="1"/>
  <c r="O19" s="1"/>
  <c r="P19" s="1"/>
  <c r="Q19" s="1"/>
  <c r="R19" s="1"/>
  <c r="S19" s="1"/>
  <c r="I15"/>
  <c r="J15" s="1"/>
  <c r="K15" s="1"/>
  <c r="L15" s="1"/>
  <c r="M15" s="1"/>
  <c r="N15" s="1"/>
  <c r="O15" s="1"/>
  <c r="P15" s="1"/>
  <c r="Q15" s="1"/>
  <c r="R15" s="1"/>
  <c r="S15" s="1"/>
  <c r="I11"/>
  <c r="J11" s="1"/>
  <c r="K11" s="1"/>
  <c r="L11" s="1"/>
  <c r="M11" s="1"/>
  <c r="N11" s="1"/>
  <c r="O11" s="1"/>
  <c r="P11" s="1"/>
  <c r="Q11" s="1"/>
  <c r="R11" s="1"/>
  <c r="S11" s="1"/>
  <c r="I7"/>
  <c r="J7" s="1"/>
  <c r="K7" s="1"/>
  <c r="L7" s="1"/>
  <c r="M7" s="1"/>
  <c r="I64"/>
  <c r="J64" s="1"/>
  <c r="K64" s="1"/>
  <c r="L64" s="1"/>
  <c r="M64" s="1"/>
  <c r="N64" s="1"/>
  <c r="O64" s="1"/>
  <c r="P64" s="1"/>
  <c r="Q64" s="1"/>
  <c r="R64" s="1"/>
  <c r="S64" s="1"/>
  <c r="I62"/>
  <c r="J62" s="1"/>
  <c r="K62" s="1"/>
  <c r="L62" s="1"/>
  <c r="M62" s="1"/>
  <c r="N62" s="1"/>
  <c r="O62" s="1"/>
  <c r="P62" s="1"/>
  <c r="Q62" s="1"/>
  <c r="R62" s="1"/>
  <c r="S62" s="1"/>
  <c r="I58"/>
  <c r="J58" s="1"/>
  <c r="K58" s="1"/>
  <c r="L58" s="1"/>
  <c r="M58" s="1"/>
  <c r="N58" s="1"/>
  <c r="O58" s="1"/>
  <c r="P58" s="1"/>
  <c r="Q58" s="1"/>
  <c r="R58" s="1"/>
  <c r="S58" s="1"/>
  <c r="I57"/>
  <c r="I56"/>
  <c r="J56" s="1"/>
  <c r="K56" s="1"/>
  <c r="L56" s="1"/>
  <c r="M56" s="1"/>
  <c r="N56" s="1"/>
  <c r="O56" s="1"/>
  <c r="P56" s="1"/>
  <c r="Q56" s="1"/>
  <c r="R56" s="1"/>
  <c r="S56" s="1"/>
  <c r="I53"/>
  <c r="J53" s="1"/>
  <c r="K53" s="1"/>
  <c r="L53" s="1"/>
  <c r="M53" s="1"/>
  <c r="N53" s="1"/>
  <c r="O53" s="1"/>
  <c r="P53" s="1"/>
  <c r="Q53" s="1"/>
  <c r="R53" s="1"/>
  <c r="S53" s="1"/>
  <c r="I51"/>
  <c r="J51" s="1"/>
  <c r="K51" s="1"/>
  <c r="L51" s="1"/>
  <c r="M51" s="1"/>
  <c r="N51" s="1"/>
  <c r="O51" s="1"/>
  <c r="P51" s="1"/>
  <c r="Q51" s="1"/>
  <c r="R51" s="1"/>
  <c r="S51" s="1"/>
  <c r="I49"/>
  <c r="J49" s="1"/>
  <c r="K49" s="1"/>
  <c r="L49" s="1"/>
  <c r="M49" s="1"/>
  <c r="N49" s="1"/>
  <c r="O49" s="1"/>
  <c r="P49" s="1"/>
  <c r="Q49" s="1"/>
  <c r="R49" s="1"/>
  <c r="S49" s="1"/>
  <c r="I47"/>
  <c r="J47" s="1"/>
  <c r="K47" s="1"/>
  <c r="L47" s="1"/>
  <c r="M47" s="1"/>
  <c r="N47" s="1"/>
  <c r="O47" s="1"/>
  <c r="P47" s="1"/>
  <c r="Q47" s="1"/>
  <c r="R47" s="1"/>
  <c r="S47" s="1"/>
  <c r="I45"/>
  <c r="J45" s="1"/>
  <c r="K45" s="1"/>
  <c r="L45" s="1"/>
  <c r="M45" s="1"/>
  <c r="N45" s="1"/>
  <c r="O45" s="1"/>
  <c r="P45" s="1"/>
  <c r="Q45" s="1"/>
  <c r="R45" s="1"/>
  <c r="S45" s="1"/>
  <c r="I20"/>
  <c r="J20" s="1"/>
  <c r="K20" s="1"/>
  <c r="L20" s="1"/>
  <c r="M20" s="1"/>
  <c r="N20" s="1"/>
  <c r="O20" s="1"/>
  <c r="P20" s="1"/>
  <c r="Q20" s="1"/>
  <c r="R20" s="1"/>
  <c r="S20" s="1"/>
  <c r="I18"/>
  <c r="J18" s="1"/>
  <c r="K18" s="1"/>
  <c r="L18" s="1"/>
  <c r="M18" s="1"/>
  <c r="N18" s="1"/>
  <c r="O18" s="1"/>
  <c r="P18" s="1"/>
  <c r="Q18" s="1"/>
  <c r="R18" s="1"/>
  <c r="S18" s="1"/>
  <c r="I16"/>
  <c r="J16" s="1"/>
  <c r="K16" s="1"/>
  <c r="L16" s="1"/>
  <c r="M16" s="1"/>
  <c r="N16" s="1"/>
  <c r="O16" s="1"/>
  <c r="P16" s="1"/>
  <c r="Q16" s="1"/>
  <c r="R16" s="1"/>
  <c r="S16" s="1"/>
  <c r="I14"/>
  <c r="J14" s="1"/>
  <c r="K14" s="1"/>
  <c r="L14" s="1"/>
  <c r="M14" s="1"/>
  <c r="N14" s="1"/>
  <c r="O14" s="1"/>
  <c r="P14" s="1"/>
  <c r="Q14" s="1"/>
  <c r="R14" s="1"/>
  <c r="S14" s="1"/>
  <c r="I12"/>
  <c r="J12" s="1"/>
  <c r="K12" s="1"/>
  <c r="L12" s="1"/>
  <c r="M12" s="1"/>
  <c r="N12" s="1"/>
  <c r="O12" s="1"/>
  <c r="P12" s="1"/>
  <c r="Q12" s="1"/>
  <c r="R12" s="1"/>
  <c r="S12" s="1"/>
  <c r="I10"/>
  <c r="J10" s="1"/>
  <c r="K10" s="1"/>
  <c r="L10" s="1"/>
  <c r="M10" s="1"/>
  <c r="N10" s="1"/>
  <c r="O10" s="1"/>
  <c r="P10" s="1"/>
  <c r="Q10" s="1"/>
  <c r="R10" s="1"/>
  <c r="S10" s="1"/>
  <c r="I8"/>
  <c r="J8" s="1"/>
  <c r="O43"/>
  <c r="P43" s="1"/>
  <c r="Q43" s="1"/>
  <c r="R43" s="1"/>
  <c r="S43" s="1"/>
  <c r="P66" i="4"/>
  <c r="O21" i="1" s="1"/>
  <c r="L66" i="4"/>
  <c r="K21" i="1" s="1"/>
  <c r="O65" i="4"/>
  <c r="O66" s="1"/>
  <c r="N21" i="1" s="1"/>
  <c r="Q69" i="4"/>
  <c r="G65"/>
  <c r="G66" s="1"/>
  <c r="F21" i="1" s="1"/>
  <c r="I65" i="4"/>
  <c r="I66" s="1"/>
  <c r="H21" i="1" s="1"/>
  <c r="D30" i="9" s="1"/>
  <c r="K65" i="4"/>
  <c r="K66" s="1"/>
  <c r="J21" i="1" s="1"/>
  <c r="M65" i="4"/>
  <c r="M66" s="1"/>
  <c r="L21" i="1" s="1"/>
  <c r="L96" i="4"/>
  <c r="J15" i="8" s="1"/>
  <c r="L22" i="1"/>
  <c r="N66" i="4"/>
  <c r="M21" i="1" s="1"/>
  <c r="G19" i="4"/>
  <c r="E65"/>
  <c r="Q17"/>
  <c r="Q19" s="1"/>
  <c r="Q71"/>
  <c r="C17" s="1"/>
  <c r="S26" i="12"/>
  <c r="V38"/>
  <c r="D32"/>
  <c r="F32"/>
  <c r="H32"/>
  <c r="J32"/>
  <c r="L32"/>
  <c r="N32"/>
  <c r="P32"/>
  <c r="T24"/>
  <c r="V24"/>
  <c r="S25"/>
  <c r="U25"/>
  <c r="T26"/>
  <c r="V26"/>
  <c r="T27"/>
  <c r="V27"/>
  <c r="T28"/>
  <c r="V28"/>
  <c r="S29"/>
  <c r="U29"/>
  <c r="T30"/>
  <c r="V30"/>
  <c r="S31"/>
  <c r="U31"/>
  <c r="U39"/>
  <c r="S35"/>
  <c r="U35"/>
  <c r="Q36"/>
  <c r="U36"/>
  <c r="S37"/>
  <c r="U37"/>
  <c r="Q38"/>
  <c r="U38"/>
  <c r="Q44"/>
  <c r="D53"/>
  <c r="F53"/>
  <c r="T48"/>
  <c r="J53"/>
  <c r="L53"/>
  <c r="U53" s="1"/>
  <c r="V48"/>
  <c r="P53"/>
  <c r="Q49"/>
  <c r="U49"/>
  <c r="T50"/>
  <c r="V50"/>
  <c r="Q51"/>
  <c r="U51"/>
  <c r="T52"/>
  <c r="V52"/>
  <c r="Q55"/>
  <c r="G60"/>
  <c r="I60"/>
  <c r="T60" s="1"/>
  <c r="K60"/>
  <c r="M60"/>
  <c r="O60"/>
  <c r="V60" s="1"/>
  <c r="T56"/>
  <c r="V56"/>
  <c r="Q57"/>
  <c r="U57"/>
  <c r="D89"/>
  <c r="F89"/>
  <c r="S89" s="1"/>
  <c r="H89"/>
  <c r="J89"/>
  <c r="L89"/>
  <c r="U89" s="1"/>
  <c r="N89"/>
  <c r="P89"/>
  <c r="T43"/>
  <c r="V43"/>
  <c r="T86"/>
  <c r="V86"/>
  <c r="T87"/>
  <c r="V87"/>
  <c r="T88"/>
  <c r="V88"/>
  <c r="T96"/>
  <c r="V96"/>
  <c r="T92"/>
  <c r="V92"/>
  <c r="V93"/>
  <c r="T94"/>
  <c r="V94"/>
  <c r="T95"/>
  <c r="D109"/>
  <c r="F109"/>
  <c r="H109"/>
  <c r="J109"/>
  <c r="L109"/>
  <c r="N109"/>
  <c r="P109"/>
  <c r="Q107"/>
  <c r="U107"/>
  <c r="S108"/>
  <c r="U108"/>
  <c r="Q100"/>
  <c r="S101"/>
  <c r="U101"/>
  <c r="U91"/>
  <c r="S82"/>
  <c r="U82"/>
  <c r="T83"/>
  <c r="T85"/>
  <c r="V85"/>
  <c r="T42"/>
  <c r="V42"/>
  <c r="S85"/>
  <c r="S58"/>
  <c r="U58"/>
  <c r="T59"/>
  <c r="V59"/>
  <c r="S62"/>
  <c r="G68"/>
  <c r="G98" s="1"/>
  <c r="D18" i="13" s="1"/>
  <c r="I68" i="12"/>
  <c r="T68" s="1"/>
  <c r="U62"/>
  <c r="M68"/>
  <c r="M98" s="1"/>
  <c r="J18" i="13" s="1"/>
  <c r="O68" i="12"/>
  <c r="V68" s="1"/>
  <c r="T63"/>
  <c r="V63"/>
  <c r="T64"/>
  <c r="V64"/>
  <c r="Q65"/>
  <c r="T66"/>
  <c r="V66"/>
  <c r="T67"/>
  <c r="V67"/>
  <c r="F74"/>
  <c r="H74"/>
  <c r="J74"/>
  <c r="L74"/>
  <c r="U74" s="1"/>
  <c r="N74"/>
  <c r="P74"/>
  <c r="Q71"/>
  <c r="U71"/>
  <c r="T72"/>
  <c r="V72"/>
  <c r="T73"/>
  <c r="V73"/>
  <c r="S76"/>
  <c r="U76"/>
  <c r="Q77"/>
  <c r="U77"/>
  <c r="S78"/>
  <c r="U78"/>
  <c r="V83"/>
  <c r="S84"/>
  <c r="V95"/>
  <c r="T106"/>
  <c r="V106"/>
  <c r="J21" i="7"/>
  <c r="J26" s="1"/>
  <c r="J3" s="1"/>
  <c r="J49" i="1" s="1"/>
  <c r="M74" i="4"/>
  <c r="M68"/>
  <c r="M23"/>
  <c r="M95"/>
  <c r="I74"/>
  <c r="I95"/>
  <c r="I23"/>
  <c r="I68"/>
  <c r="M72"/>
  <c r="H66" i="2"/>
  <c r="D28" i="1" s="1"/>
  <c r="I73" i="4"/>
  <c r="G4" i="8" s="1"/>
  <c r="U66" i="2"/>
  <c r="I72" i="4"/>
  <c r="I75" s="1"/>
  <c r="M73"/>
  <c r="K4" i="8" s="1"/>
  <c r="T66" i="2"/>
  <c r="T65"/>
  <c r="U68" s="1"/>
  <c r="K74" i="4"/>
  <c r="K72"/>
  <c r="K68"/>
  <c r="K95"/>
  <c r="K23"/>
  <c r="J57" i="2"/>
  <c r="J66" s="1"/>
  <c r="O74" i="4"/>
  <c r="O72"/>
  <c r="O68"/>
  <c r="O95"/>
  <c r="O23"/>
  <c r="G74"/>
  <c r="G23"/>
  <c r="G72"/>
  <c r="E3" i="8" s="1"/>
  <c r="G68" i="4"/>
  <c r="G95"/>
  <c r="H65" i="2"/>
  <c r="O73" i="4"/>
  <c r="K73"/>
  <c r="I4" i="8" s="1"/>
  <c r="G73" i="4"/>
  <c r="C36" i="11"/>
  <c r="D32" s="1"/>
  <c r="E36"/>
  <c r="F32" s="1"/>
  <c r="G36"/>
  <c r="H32" s="1"/>
  <c r="I36"/>
  <c r="J32" s="1"/>
  <c r="K36"/>
  <c r="L32" s="1"/>
  <c r="M36"/>
  <c r="U95" i="12"/>
  <c r="S105"/>
  <c r="U105"/>
  <c r="Q106"/>
  <c r="T107"/>
  <c r="V107"/>
  <c r="T108"/>
  <c r="V108"/>
  <c r="U44"/>
  <c r="U45" s="1"/>
  <c r="U84"/>
  <c r="Q72"/>
  <c r="U92"/>
  <c r="Q94"/>
  <c r="T101"/>
  <c r="V101"/>
  <c r="U65"/>
  <c r="U83"/>
  <c r="T93"/>
  <c r="U106"/>
  <c r="S53"/>
  <c r="Q21"/>
  <c r="T21"/>
  <c r="V21"/>
  <c r="T79"/>
  <c r="V79"/>
  <c r="S39"/>
  <c r="S21"/>
  <c r="U21"/>
  <c r="U32" s="1"/>
  <c r="Q24"/>
  <c r="Q25"/>
  <c r="Q26"/>
  <c r="S27"/>
  <c r="Q28"/>
  <c r="Q29"/>
  <c r="Q30"/>
  <c r="Q31"/>
  <c r="S34"/>
  <c r="U34"/>
  <c r="Q35"/>
  <c r="S36"/>
  <c r="Q37"/>
  <c r="S38"/>
  <c r="H39"/>
  <c r="N39"/>
  <c r="S44"/>
  <c r="S45" s="1"/>
  <c r="S48"/>
  <c r="U48"/>
  <c r="S49"/>
  <c r="S50"/>
  <c r="S51"/>
  <c r="S52"/>
  <c r="H53"/>
  <c r="T53" s="1"/>
  <c r="N53"/>
  <c r="S55"/>
  <c r="U55"/>
  <c r="S56"/>
  <c r="S57"/>
  <c r="Q58"/>
  <c r="Q59"/>
  <c r="E60"/>
  <c r="Q62"/>
  <c r="T62"/>
  <c r="V62"/>
  <c r="Q63"/>
  <c r="S64"/>
  <c r="S65"/>
  <c r="S66"/>
  <c r="Q67"/>
  <c r="E68"/>
  <c r="K68"/>
  <c r="U68" s="1"/>
  <c r="S70"/>
  <c r="U70"/>
  <c r="S71"/>
  <c r="S72"/>
  <c r="Q73"/>
  <c r="E74"/>
  <c r="Q76"/>
  <c r="T76"/>
  <c r="V76"/>
  <c r="S77"/>
  <c r="Q78"/>
  <c r="E79"/>
  <c r="K79"/>
  <c r="U79" s="1"/>
  <c r="Q81"/>
  <c r="T81"/>
  <c r="V81"/>
  <c r="Q82"/>
  <c r="Q83"/>
  <c r="Q84"/>
  <c r="Q85"/>
  <c r="S42"/>
  <c r="Q43"/>
  <c r="S86"/>
  <c r="Q87"/>
  <c r="S88"/>
  <c r="Q91"/>
  <c r="T91"/>
  <c r="V91"/>
  <c r="S92"/>
  <c r="Q93"/>
  <c r="S94"/>
  <c r="Q95"/>
  <c r="E96"/>
  <c r="K96"/>
  <c r="Q105"/>
  <c r="T105"/>
  <c r="V105"/>
  <c r="S106"/>
  <c r="S107"/>
  <c r="Q108"/>
  <c r="E109"/>
  <c r="K109"/>
  <c r="S100"/>
  <c r="U100"/>
  <c r="U102" s="1"/>
  <c r="Q101"/>
  <c r="E102"/>
  <c r="Q34"/>
  <c r="Q48"/>
  <c r="T55"/>
  <c r="V55"/>
  <c r="T70"/>
  <c r="V70"/>
  <c r="S81"/>
  <c r="U81"/>
  <c r="T100"/>
  <c r="V100"/>
  <c r="V102" s="1"/>
  <c r="AA9" i="9"/>
  <c r="AE9" s="1"/>
  <c r="Y9"/>
  <c r="Y7" i="2"/>
  <c r="W66"/>
  <c r="G29" i="9"/>
  <c r="I41"/>
  <c r="J41"/>
  <c r="K41"/>
  <c r="L41"/>
  <c r="S9"/>
  <c r="K8" i="2"/>
  <c r="L8" s="1"/>
  <c r="M8" s="1"/>
  <c r="J96" i="4"/>
  <c r="J22" i="1"/>
  <c r="J23" s="1"/>
  <c r="H96" i="4"/>
  <c r="H22" i="1"/>
  <c r="F22"/>
  <c r="F29" s="1"/>
  <c r="G104" i="4" s="1"/>
  <c r="E19" i="8" s="1"/>
  <c r="F96" i="4"/>
  <c r="P72"/>
  <c r="P74"/>
  <c r="P73"/>
  <c r="N4" i="8" s="1"/>
  <c r="L72" i="4"/>
  <c r="L74"/>
  <c r="G88" s="1"/>
  <c r="L73"/>
  <c r="H72"/>
  <c r="H74"/>
  <c r="H73"/>
  <c r="E74"/>
  <c r="E73"/>
  <c r="E72"/>
  <c r="I66" i="2"/>
  <c r="N27" i="11"/>
  <c r="N96" i="4"/>
  <c r="N22" i="1"/>
  <c r="N29" s="1"/>
  <c r="O104" i="4" s="1"/>
  <c r="M19" i="8" s="1"/>
  <c r="H23" i="1"/>
  <c r="E22"/>
  <c r="E96" i="4"/>
  <c r="Z38" i="2"/>
  <c r="Z36"/>
  <c r="Z34"/>
  <c r="Z32"/>
  <c r="Z30"/>
  <c r="Z28"/>
  <c r="Z26"/>
  <c r="Z24"/>
  <c r="X39"/>
  <c r="X37"/>
  <c r="X35"/>
  <c r="X33"/>
  <c r="X31"/>
  <c r="X29"/>
  <c r="X27"/>
  <c r="X25"/>
  <c r="X23"/>
  <c r="V38"/>
  <c r="V36"/>
  <c r="V34"/>
  <c r="V32"/>
  <c r="V30"/>
  <c r="V28"/>
  <c r="V26"/>
  <c r="V24"/>
  <c r="Z39"/>
  <c r="Z37"/>
  <c r="Z35"/>
  <c r="Z33"/>
  <c r="Z31"/>
  <c r="Z29"/>
  <c r="Z27"/>
  <c r="Z25"/>
  <c r="Z23"/>
  <c r="X38"/>
  <c r="X36"/>
  <c r="X34"/>
  <c r="X32"/>
  <c r="X30"/>
  <c r="X28"/>
  <c r="X26"/>
  <c r="X24"/>
  <c r="V39"/>
  <c r="V37"/>
  <c r="V35"/>
  <c r="V33"/>
  <c r="V31"/>
  <c r="V29"/>
  <c r="V27"/>
  <c r="V25"/>
  <c r="V23"/>
  <c r="N72" i="4"/>
  <c r="N74"/>
  <c r="N73"/>
  <c r="J72"/>
  <c r="J74"/>
  <c r="J73"/>
  <c r="H4" i="8" s="1"/>
  <c r="F72" i="4"/>
  <c r="F74"/>
  <c r="F73"/>
  <c r="D4" i="8" s="1"/>
  <c r="H3" i="7"/>
  <c r="H49" i="1" s="1"/>
  <c r="N7" i="2"/>
  <c r="E23" i="1"/>
  <c r="L19" i="4"/>
  <c r="N19"/>
  <c r="P19"/>
  <c r="J19"/>
  <c r="H19"/>
  <c r="H7" i="1" l="1"/>
  <c r="F8" i="13"/>
  <c r="F11" s="1"/>
  <c r="J7" i="1"/>
  <c r="H8" i="13"/>
  <c r="D25" i="1"/>
  <c r="D26" s="1"/>
  <c r="B15" i="13"/>
  <c r="F23" i="1"/>
  <c r="E7"/>
  <c r="C8" i="13"/>
  <c r="C11" s="1"/>
  <c r="V89" i="12"/>
  <c r="V109"/>
  <c r="U60"/>
  <c r="S102"/>
  <c r="V53"/>
  <c r="T32"/>
  <c r="T89"/>
  <c r="T109"/>
  <c r="D98"/>
  <c r="O16" i="13"/>
  <c r="T102" i="12"/>
  <c r="Q102"/>
  <c r="V32"/>
  <c r="Q89"/>
  <c r="Q16" i="13"/>
  <c r="S16"/>
  <c r="E98" i="12"/>
  <c r="B18" i="13" s="1"/>
  <c r="N98" i="12"/>
  <c r="K18" i="13" s="1"/>
  <c r="J98" i="12"/>
  <c r="G18" i="13" s="1"/>
  <c r="F98" i="12"/>
  <c r="C18" i="13" s="1"/>
  <c r="P98" i="12"/>
  <c r="M18" i="13" s="1"/>
  <c r="L98" i="12"/>
  <c r="I18" i="13" s="1"/>
  <c r="H98" i="12"/>
  <c r="E18" i="13" s="1"/>
  <c r="U96" i="12"/>
  <c r="K98"/>
  <c r="H18" i="13" s="1"/>
  <c r="O98" i="12"/>
  <c r="L18" i="13" s="1"/>
  <c r="I98" i="12"/>
  <c r="F18" i="13" s="1"/>
  <c r="F30" i="9"/>
  <c r="H29" i="1"/>
  <c r="I65" i="2"/>
  <c r="E30" i="9"/>
  <c r="L29" i="1"/>
  <c r="M104" i="4" s="1"/>
  <c r="K19" i="8" s="1"/>
  <c r="L23" i="1"/>
  <c r="E66" i="4"/>
  <c r="Q65"/>
  <c r="Q66" s="1"/>
  <c r="Q45" i="12"/>
  <c r="V39"/>
  <c r="M21" i="7"/>
  <c r="M26" s="1"/>
  <c r="M3" s="1"/>
  <c r="M49" i="1" s="1"/>
  <c r="V74" i="12"/>
  <c r="T39"/>
  <c r="G21" i="7"/>
  <c r="G26" s="1"/>
  <c r="T74" i="12"/>
  <c r="I104" i="4"/>
  <c r="G19" i="8" s="1"/>
  <c r="D27" i="1"/>
  <c r="E103" i="4" s="1"/>
  <c r="C18" i="8" s="1"/>
  <c r="K75" i="4"/>
  <c r="G3" i="8"/>
  <c r="G5" s="1"/>
  <c r="M75" i="4"/>
  <c r="K3" i="8"/>
  <c r="I3"/>
  <c r="I5" s="1"/>
  <c r="K5"/>
  <c r="G75" i="4"/>
  <c r="E4" i="8"/>
  <c r="E5" s="1"/>
  <c r="O75" i="4"/>
  <c r="M4" i="8"/>
  <c r="K57" i="2"/>
  <c r="J65"/>
  <c r="M3" i="8"/>
  <c r="U109" i="12"/>
  <c r="S79"/>
  <c r="Q79"/>
  <c r="S74"/>
  <c r="Q74"/>
  <c r="S60"/>
  <c r="Q60"/>
  <c r="S32"/>
  <c r="Q39"/>
  <c r="Q32"/>
  <c r="Q53"/>
  <c r="S109"/>
  <c r="Q109"/>
  <c r="S96"/>
  <c r="Q96"/>
  <c r="S68"/>
  <c r="Q68"/>
  <c r="I9" i="8"/>
  <c r="G96" i="4"/>
  <c r="G100" s="1"/>
  <c r="G22" i="1"/>
  <c r="O96" i="4"/>
  <c r="O22" i="1"/>
  <c r="K96" i="4"/>
  <c r="K22" i="1"/>
  <c r="D9" i="8"/>
  <c r="F75" i="4"/>
  <c r="D3" i="8"/>
  <c r="D5" s="1"/>
  <c r="P78" i="4"/>
  <c r="L4" i="8"/>
  <c r="H87" i="4"/>
  <c r="N75"/>
  <c r="P77"/>
  <c r="P79" s="1"/>
  <c r="L3" i="8"/>
  <c r="H86" i="4"/>
  <c r="Z65" i="2"/>
  <c r="AA68" s="1"/>
  <c r="Z66"/>
  <c r="C15" i="8"/>
  <c r="G9"/>
  <c r="G77" i="4"/>
  <c r="Q72"/>
  <c r="E75"/>
  <c r="C3" i="8"/>
  <c r="E86" i="4"/>
  <c r="Q74"/>
  <c r="E88"/>
  <c r="J4" i="8"/>
  <c r="E7" i="9" s="1"/>
  <c r="G87" i="4"/>
  <c r="L75"/>
  <c r="M77"/>
  <c r="J3" i="8"/>
  <c r="G86" i="4"/>
  <c r="G89" s="1"/>
  <c r="D15" i="8"/>
  <c r="N8" i="2"/>
  <c r="O8" s="1"/>
  <c r="P8" s="1"/>
  <c r="Q8" s="1"/>
  <c r="R8" s="1"/>
  <c r="S8" s="1"/>
  <c r="M41" i="9"/>
  <c r="AA7" i="2"/>
  <c r="AA66" s="1"/>
  <c r="Y66"/>
  <c r="I96" i="4"/>
  <c r="I22" i="1"/>
  <c r="M96" i="4"/>
  <c r="M22" i="1"/>
  <c r="O7" i="2"/>
  <c r="J75" i="4"/>
  <c r="H3" i="8"/>
  <c r="H5" s="1"/>
  <c r="V65" i="2"/>
  <c r="W68" s="1"/>
  <c r="V66"/>
  <c r="X65"/>
  <c r="Y68" s="1"/>
  <c r="X66"/>
  <c r="D31" i="9"/>
  <c r="E29" i="1"/>
  <c r="F104" i="4" s="1"/>
  <c r="D19" i="8" s="1"/>
  <c r="L15"/>
  <c r="P100" i="4"/>
  <c r="E28" i="1"/>
  <c r="E27"/>
  <c r="Q73" i="4"/>
  <c r="G78"/>
  <c r="C4" i="8"/>
  <c r="E87" i="4"/>
  <c r="J78"/>
  <c r="F4" i="8"/>
  <c r="D7" i="9" s="1"/>
  <c r="F87" i="4"/>
  <c r="H75"/>
  <c r="J77"/>
  <c r="J79" s="1"/>
  <c r="F3" i="8"/>
  <c r="F86" i="4"/>
  <c r="P75"/>
  <c r="N3" i="8"/>
  <c r="N5" s="1"/>
  <c r="F15"/>
  <c r="J100" i="4"/>
  <c r="H15" i="8"/>
  <c r="F28" i="1"/>
  <c r="F27"/>
  <c r="N23"/>
  <c r="F88" i="4"/>
  <c r="J29" i="1"/>
  <c r="K104" i="4" s="1"/>
  <c r="I19" i="8" s="1"/>
  <c r="K66" i="2"/>
  <c r="H88" i="4"/>
  <c r="C31" i="9"/>
  <c r="E31"/>
  <c r="M78" i="4"/>
  <c r="U98" i="12" l="1"/>
  <c r="F25" i="1"/>
  <c r="F26" s="1"/>
  <c r="D15" i="13"/>
  <c r="E25" i="1"/>
  <c r="E26" s="1"/>
  <c r="C15" i="13"/>
  <c r="F7" i="1"/>
  <c r="E9" i="8" s="1"/>
  <c r="D8" i="13"/>
  <c r="D11" s="1"/>
  <c r="V98" i="12"/>
  <c r="N7" i="1"/>
  <c r="L8" i="13"/>
  <c r="L11" s="1"/>
  <c r="L7" i="1"/>
  <c r="K9" i="8" s="1"/>
  <c r="J8" i="13"/>
  <c r="J11" s="1"/>
  <c r="Q15"/>
  <c r="H11"/>
  <c r="T98" i="12"/>
  <c r="O18" i="13"/>
  <c r="Q23"/>
  <c r="T18"/>
  <c r="Q18"/>
  <c r="R18"/>
  <c r="S18"/>
  <c r="S23"/>
  <c r="T23"/>
  <c r="R23"/>
  <c r="M5" i="8"/>
  <c r="D21" i="1"/>
  <c r="E97" i="4"/>
  <c r="P26" i="7"/>
  <c r="G3"/>
  <c r="F7" i="9"/>
  <c r="L57" i="2"/>
  <c r="K65"/>
  <c r="F89" i="4"/>
  <c r="Q98" i="12"/>
  <c r="Q110" s="1"/>
  <c r="S98"/>
  <c r="G27" i="1"/>
  <c r="G28"/>
  <c r="M9" i="8"/>
  <c r="C7" i="9"/>
  <c r="O4" i="8"/>
  <c r="Q4" s="1"/>
  <c r="P7" i="2"/>
  <c r="K15" i="8"/>
  <c r="G15"/>
  <c r="J5"/>
  <c r="E6" i="9"/>
  <c r="K7"/>
  <c r="E16"/>
  <c r="C6"/>
  <c r="O3" i="8"/>
  <c r="Q3" s="1"/>
  <c r="C5"/>
  <c r="AA41" i="9"/>
  <c r="AB41"/>
  <c r="AD41"/>
  <c r="AC41"/>
  <c r="F6"/>
  <c r="L5" i="8"/>
  <c r="L7" i="9"/>
  <c r="F16"/>
  <c r="K23" i="1"/>
  <c r="K29"/>
  <c r="L104" i="4" s="1"/>
  <c r="J19" i="8" s="1"/>
  <c r="O23" i="1"/>
  <c r="O29"/>
  <c r="P104" i="4" s="1"/>
  <c r="N19" i="8" s="1"/>
  <c r="F31" i="9"/>
  <c r="G31" s="1"/>
  <c r="G23" i="1"/>
  <c r="E8" i="13" s="1"/>
  <c r="G29" i="1"/>
  <c r="E44" i="9"/>
  <c r="K44" s="1"/>
  <c r="Q75" i="4"/>
  <c r="Q96"/>
  <c r="F57" i="1"/>
  <c r="G103" i="4"/>
  <c r="E18" i="8" s="1"/>
  <c r="E20" s="1"/>
  <c r="D6" i="9"/>
  <c r="F5" i="8"/>
  <c r="J7" i="9"/>
  <c r="D16"/>
  <c r="F103" i="4"/>
  <c r="E57" i="1"/>
  <c r="U41" i="9"/>
  <c r="V41"/>
  <c r="W41"/>
  <c r="X41"/>
  <c r="R41"/>
  <c r="O41"/>
  <c r="P41"/>
  <c r="Q41"/>
  <c r="M23" i="1"/>
  <c r="M29"/>
  <c r="N104" i="4" s="1"/>
  <c r="L19" i="8" s="1"/>
  <c r="I23" i="1"/>
  <c r="I29"/>
  <c r="J104" i="4" s="1"/>
  <c r="H19" i="8" s="1"/>
  <c r="E89" i="4"/>
  <c r="I86"/>
  <c r="I15" i="8"/>
  <c r="M100" i="4"/>
  <c r="M15" i="8"/>
  <c r="E15"/>
  <c r="I87" i="4"/>
  <c r="M79"/>
  <c r="I88"/>
  <c r="G79"/>
  <c r="R80" s="1"/>
  <c r="S80" s="1"/>
  <c r="H89"/>
  <c r="E11" i="13" l="1"/>
  <c r="G25" i="1"/>
  <c r="G26" s="1"/>
  <c r="E15" i="13"/>
  <c r="I7" i="1"/>
  <c r="G8" i="13"/>
  <c r="G11" s="1"/>
  <c r="M7" i="1"/>
  <c r="K8" i="13"/>
  <c r="O7" i="1"/>
  <c r="M8" i="13"/>
  <c r="M11" s="1"/>
  <c r="K7" i="1"/>
  <c r="I8" i="13"/>
  <c r="O23"/>
  <c r="E8" i="1"/>
  <c r="D10" i="8" s="1"/>
  <c r="C17" i="13"/>
  <c r="F8" i="1"/>
  <c r="F9" s="1"/>
  <c r="D17" i="13"/>
  <c r="D29" i="1"/>
  <c r="C30" i="9"/>
  <c r="G30" s="1"/>
  <c r="D23" i="1"/>
  <c r="O15" i="8"/>
  <c r="Q15" s="1"/>
  <c r="C14"/>
  <c r="C16" s="1"/>
  <c r="F97" i="4"/>
  <c r="E98"/>
  <c r="G49" i="1"/>
  <c r="H104" i="4" s="1"/>
  <c r="P3" i="7"/>
  <c r="F44" i="9"/>
  <c r="L44" s="1"/>
  <c r="R44" s="1"/>
  <c r="X44" s="1"/>
  <c r="AD44" s="1"/>
  <c r="M57" i="2"/>
  <c r="L66"/>
  <c r="L65"/>
  <c r="G7" i="1"/>
  <c r="P23"/>
  <c r="I6" i="9"/>
  <c r="C15"/>
  <c r="G6"/>
  <c r="Q7"/>
  <c r="K16"/>
  <c r="Q7" i="2"/>
  <c r="I7" i="9"/>
  <c r="G7"/>
  <c r="G16" s="1"/>
  <c r="C16"/>
  <c r="C23" s="1"/>
  <c r="F23"/>
  <c r="O5" i="8"/>
  <c r="Q5" s="1"/>
  <c r="H103" i="4"/>
  <c r="F18" i="8" s="1"/>
  <c r="H9"/>
  <c r="L9"/>
  <c r="J63" i="1"/>
  <c r="S41" i="9"/>
  <c r="L32"/>
  <c r="Y41"/>
  <c r="D18" i="8"/>
  <c r="P7" i="9"/>
  <c r="J16"/>
  <c r="J6"/>
  <c r="D15"/>
  <c r="Q44"/>
  <c r="W44" s="1"/>
  <c r="AC44" s="1"/>
  <c r="N9" i="8"/>
  <c r="J9"/>
  <c r="H63" i="1"/>
  <c r="R7" i="9"/>
  <c r="L16"/>
  <c r="L6"/>
  <c r="F15"/>
  <c r="AE41"/>
  <c r="K6"/>
  <c r="E15"/>
  <c r="D23"/>
  <c r="I89" i="4"/>
  <c r="J93" s="1"/>
  <c r="E23" i="9"/>
  <c r="H25" i="1" l="1"/>
  <c r="F15" i="13"/>
  <c r="D7" i="1"/>
  <c r="B8" i="13"/>
  <c r="R8"/>
  <c r="I11"/>
  <c r="S11" s="1"/>
  <c r="S8"/>
  <c r="T8"/>
  <c r="K11"/>
  <c r="T11" s="1"/>
  <c r="R11"/>
  <c r="E9" i="1"/>
  <c r="E10" i="8"/>
  <c r="D22" i="13"/>
  <c r="D25"/>
  <c r="C22"/>
  <c r="C25"/>
  <c r="G57" i="1"/>
  <c r="E17" i="13" s="1"/>
  <c r="C9" i="8"/>
  <c r="D63" i="1"/>
  <c r="E104" i="4"/>
  <c r="C19" i="8" s="1"/>
  <c r="D57" i="1"/>
  <c r="B17" i="13" s="1"/>
  <c r="D14" i="8"/>
  <c r="D16" s="1"/>
  <c r="D23" s="1"/>
  <c r="G97" i="4"/>
  <c r="F98"/>
  <c r="F105" s="1"/>
  <c r="AD32" i="9"/>
  <c r="X32"/>
  <c r="F19" i="8"/>
  <c r="D44" i="9" s="1"/>
  <c r="J44" s="1"/>
  <c r="P44" s="1"/>
  <c r="Q104" i="4"/>
  <c r="O19" i="8" s="1"/>
  <c r="Q19" s="1"/>
  <c r="H26" i="1"/>
  <c r="N57" i="2"/>
  <c r="M66"/>
  <c r="M65"/>
  <c r="L23" i="9"/>
  <c r="H28" i="1"/>
  <c r="H27"/>
  <c r="E17" i="9"/>
  <c r="E22"/>
  <c r="E24" s="1"/>
  <c r="E39" s="1"/>
  <c r="F22"/>
  <c r="F24" s="1"/>
  <c r="F39" s="1"/>
  <c r="F17"/>
  <c r="P6"/>
  <c r="J15"/>
  <c r="V7"/>
  <c r="P16"/>
  <c r="D20" i="8"/>
  <c r="C41" i="9"/>
  <c r="O7"/>
  <c r="M7"/>
  <c r="M16" s="1"/>
  <c r="I16"/>
  <c r="I23" s="1"/>
  <c r="R7" i="2"/>
  <c r="W7" i="9"/>
  <c r="Q16"/>
  <c r="C17"/>
  <c r="C22"/>
  <c r="Q6"/>
  <c r="K15"/>
  <c r="R6"/>
  <c r="L15"/>
  <c r="X7"/>
  <c r="R16"/>
  <c r="D22"/>
  <c r="D24" s="1"/>
  <c r="D39" s="1"/>
  <c r="D17"/>
  <c r="G2"/>
  <c r="G15"/>
  <c r="G17" s="1"/>
  <c r="C53" s="1"/>
  <c r="O6"/>
  <c r="I15"/>
  <c r="M6"/>
  <c r="F9" i="8"/>
  <c r="F63" i="1"/>
  <c r="G23" i="9"/>
  <c r="R32"/>
  <c r="K23"/>
  <c r="I25" i="1" l="1"/>
  <c r="I26" s="1"/>
  <c r="G15" i="13"/>
  <c r="R15" s="1"/>
  <c r="Q8"/>
  <c r="B11"/>
  <c r="O8"/>
  <c r="G8" i="1"/>
  <c r="G9" s="1"/>
  <c r="K32" i="9"/>
  <c r="F20" i="8"/>
  <c r="Q17" i="13"/>
  <c r="B25"/>
  <c r="B22"/>
  <c r="E22"/>
  <c r="E25"/>
  <c r="E105" i="4"/>
  <c r="H97"/>
  <c r="G98"/>
  <c r="G105" s="1"/>
  <c r="G106" s="1"/>
  <c r="E14" i="8"/>
  <c r="E16" s="1"/>
  <c r="E23" s="1"/>
  <c r="D8" i="1"/>
  <c r="C32" i="9"/>
  <c r="C33" s="1"/>
  <c r="C34" s="1"/>
  <c r="D29" s="1"/>
  <c r="G99" i="4"/>
  <c r="G101" s="1"/>
  <c r="C20" i="8"/>
  <c r="C44" i="9"/>
  <c r="I44" s="1"/>
  <c r="O44" s="1"/>
  <c r="U44" s="1"/>
  <c r="C23" i="8"/>
  <c r="R23" i="9"/>
  <c r="J23"/>
  <c r="J31" s="1"/>
  <c r="H57" i="1"/>
  <c r="F17" i="13" s="1"/>
  <c r="K31" i="9"/>
  <c r="O57" i="2"/>
  <c r="N66"/>
  <c r="N65"/>
  <c r="Q23" i="9"/>
  <c r="R31" s="1"/>
  <c r="I27" i="1"/>
  <c r="I28"/>
  <c r="I103" i="4"/>
  <c r="G18" i="8" s="1"/>
  <c r="I30" i="9"/>
  <c r="I17"/>
  <c r="I22"/>
  <c r="X16"/>
  <c r="AD7"/>
  <c r="AD16" s="1"/>
  <c r="X6"/>
  <c r="R15"/>
  <c r="W6"/>
  <c r="Q15"/>
  <c r="V44"/>
  <c r="W16"/>
  <c r="AC7"/>
  <c r="AC16" s="1"/>
  <c r="S7" i="2"/>
  <c r="AB7" i="9"/>
  <c r="AB16" s="1"/>
  <c r="V16"/>
  <c r="V6"/>
  <c r="P15"/>
  <c r="M2"/>
  <c r="M15"/>
  <c r="M17" s="1"/>
  <c r="D53" s="1"/>
  <c r="U6"/>
  <c r="O15"/>
  <c r="S6"/>
  <c r="L22"/>
  <c r="L24" s="1"/>
  <c r="L39" s="1"/>
  <c r="L46" s="1"/>
  <c r="L30"/>
  <c r="L17"/>
  <c r="K30"/>
  <c r="K17"/>
  <c r="K22"/>
  <c r="K24" s="1"/>
  <c r="K39" s="1"/>
  <c r="K46" s="1"/>
  <c r="C24"/>
  <c r="C39" s="1"/>
  <c r="G22"/>
  <c r="G24" s="1"/>
  <c r="M23"/>
  <c r="I31"/>
  <c r="U7"/>
  <c r="S7"/>
  <c r="S16" s="1"/>
  <c r="O16"/>
  <c r="O23" s="1"/>
  <c r="F10" i="8"/>
  <c r="J30" i="9"/>
  <c r="J22"/>
  <c r="J24" s="1"/>
  <c r="J39" s="1"/>
  <c r="J46" s="1"/>
  <c r="J17"/>
  <c r="L31"/>
  <c r="Q32"/>
  <c r="J25" i="1" l="1"/>
  <c r="H15" i="13"/>
  <c r="O11"/>
  <c r="Q11"/>
  <c r="B29"/>
  <c r="C4" s="1"/>
  <c r="C29" s="1"/>
  <c r="D4" s="1"/>
  <c r="D29" s="1"/>
  <c r="E4" s="1"/>
  <c r="E29" s="1"/>
  <c r="F4" s="1"/>
  <c r="H8" i="1"/>
  <c r="H9" s="1"/>
  <c r="C46" i="9"/>
  <c r="S44"/>
  <c r="E56" s="1"/>
  <c r="F22" i="13"/>
  <c r="F25"/>
  <c r="Q25"/>
  <c r="M44" i="9"/>
  <c r="D56" s="1"/>
  <c r="Q22" i="13"/>
  <c r="P32" i="9"/>
  <c r="O32"/>
  <c r="G44"/>
  <c r="J32"/>
  <c r="J33" s="1"/>
  <c r="F14" i="8"/>
  <c r="F16" s="1"/>
  <c r="F23" s="1"/>
  <c r="H98" i="4"/>
  <c r="H105" s="1"/>
  <c r="I97"/>
  <c r="D9" i="1"/>
  <c r="D10" s="1"/>
  <c r="D64"/>
  <c r="D65" s="1"/>
  <c r="D66" s="1"/>
  <c r="F62" s="1"/>
  <c r="C10" i="8"/>
  <c r="K33" i="9"/>
  <c r="I57" i="1"/>
  <c r="G20" i="8"/>
  <c r="J26" i="1"/>
  <c r="P57" i="2"/>
  <c r="O65"/>
  <c r="O66"/>
  <c r="P23" i="9"/>
  <c r="P31" s="1"/>
  <c r="M31"/>
  <c r="AC23"/>
  <c r="J103" i="4"/>
  <c r="H18" i="8" s="1"/>
  <c r="H20" s="1"/>
  <c r="J27" i="1"/>
  <c r="J28"/>
  <c r="C55" i="9"/>
  <c r="G39"/>
  <c r="O17"/>
  <c r="O30"/>
  <c r="O22"/>
  <c r="P22"/>
  <c r="P30"/>
  <c r="P17"/>
  <c r="Q17"/>
  <c r="Q30"/>
  <c r="Q22"/>
  <c r="Q24" s="1"/>
  <c r="Q39" s="1"/>
  <c r="Q46" s="1"/>
  <c r="R30"/>
  <c r="R33" s="1"/>
  <c r="R22"/>
  <c r="R24" s="1"/>
  <c r="R39" s="1"/>
  <c r="R46" s="1"/>
  <c r="R17"/>
  <c r="AA44"/>
  <c r="Y44"/>
  <c r="F56" s="1"/>
  <c r="U32"/>
  <c r="O31"/>
  <c r="S23"/>
  <c r="AA7"/>
  <c r="Y7"/>
  <c r="Y16" s="1"/>
  <c r="U16"/>
  <c r="U23" s="1"/>
  <c r="S2"/>
  <c r="S15"/>
  <c r="S17" s="1"/>
  <c r="E53" s="1"/>
  <c r="AA6"/>
  <c r="U15"/>
  <c r="Y6"/>
  <c r="AB6"/>
  <c r="AB15" s="1"/>
  <c r="V15"/>
  <c r="AB44"/>
  <c r="V32"/>
  <c r="W32"/>
  <c r="AC6"/>
  <c r="AC15" s="1"/>
  <c r="W15"/>
  <c r="X15"/>
  <c r="AD6"/>
  <c r="AD15" s="1"/>
  <c r="M22"/>
  <c r="M24" s="1"/>
  <c r="I24"/>
  <c r="I39" s="1"/>
  <c r="I46" s="1"/>
  <c r="M46" s="1"/>
  <c r="M30"/>
  <c r="AD23"/>
  <c r="AD31" s="1"/>
  <c r="Q31"/>
  <c r="L33"/>
  <c r="W23"/>
  <c r="X23"/>
  <c r="K25" i="1" l="1"/>
  <c r="K26" s="1"/>
  <c r="I15" i="13"/>
  <c r="F29"/>
  <c r="G4" s="1"/>
  <c r="G10" i="8"/>
  <c r="I8" i="1"/>
  <c r="I9" s="1"/>
  <c r="G17" i="13"/>
  <c r="S32" i="9"/>
  <c r="P33"/>
  <c r="C11" i="8"/>
  <c r="E3" i="1"/>
  <c r="J97" i="4"/>
  <c r="G14" i="8"/>
  <c r="G16" s="1"/>
  <c r="G23" s="1"/>
  <c r="I98" i="4"/>
  <c r="I105" s="1"/>
  <c r="P24" i="9"/>
  <c r="P39" s="1"/>
  <c r="P46" s="1"/>
  <c r="D32"/>
  <c r="D33" s="1"/>
  <c r="D34" s="1"/>
  <c r="E29" s="1"/>
  <c r="V23"/>
  <c r="V31" s="1"/>
  <c r="K103" i="4"/>
  <c r="I18" i="8" s="1"/>
  <c r="I20" s="1"/>
  <c r="X31" i="9"/>
  <c r="J57" i="1"/>
  <c r="H17" i="13" s="1"/>
  <c r="K27" i="1"/>
  <c r="K28"/>
  <c r="Q57" i="2"/>
  <c r="P66"/>
  <c r="P65"/>
  <c r="D41" i="9"/>
  <c r="D46" s="1"/>
  <c r="D55"/>
  <c r="D57" s="1"/>
  <c r="M39"/>
  <c r="X22"/>
  <c r="X24" s="1"/>
  <c r="X39" s="1"/>
  <c r="X46" s="1"/>
  <c r="X30"/>
  <c r="X17"/>
  <c r="AC30"/>
  <c r="AC17"/>
  <c r="AB17"/>
  <c r="U30"/>
  <c r="U17"/>
  <c r="U22"/>
  <c r="S30"/>
  <c r="O33"/>
  <c r="AD30"/>
  <c r="AD33" s="1"/>
  <c r="AD17"/>
  <c r="W30"/>
  <c r="W17"/>
  <c r="W22"/>
  <c r="W24" s="1"/>
  <c r="W39" s="1"/>
  <c r="W46" s="1"/>
  <c r="AB32"/>
  <c r="AC32"/>
  <c r="V30"/>
  <c r="V22"/>
  <c r="V24" s="1"/>
  <c r="V39" s="1"/>
  <c r="V46" s="1"/>
  <c r="V17"/>
  <c r="Y2"/>
  <c r="Y15"/>
  <c r="Y17" s="1"/>
  <c r="F53" s="1"/>
  <c r="AA15"/>
  <c r="AC22" s="1"/>
  <c r="AC24" s="1"/>
  <c r="AC39" s="1"/>
  <c r="AC46" s="1"/>
  <c r="AE6"/>
  <c r="U31"/>
  <c r="Y23"/>
  <c r="AA16"/>
  <c r="AE7"/>
  <c r="AE16" s="1"/>
  <c r="AE44"/>
  <c r="G56" s="1"/>
  <c r="AA32"/>
  <c r="O24"/>
  <c r="O39" s="1"/>
  <c r="O46" s="1"/>
  <c r="S22"/>
  <c r="S24" s="1"/>
  <c r="Q33"/>
  <c r="S31"/>
  <c r="Y32"/>
  <c r="L25" i="1" l="1"/>
  <c r="L26" s="1"/>
  <c r="J15" i="13"/>
  <c r="S15" s="1"/>
  <c r="G25"/>
  <c r="G22"/>
  <c r="R17"/>
  <c r="H25"/>
  <c r="H22"/>
  <c r="F64" i="1"/>
  <c r="F65" s="1"/>
  <c r="F66" s="1"/>
  <c r="H62" s="1"/>
  <c r="H10" i="8"/>
  <c r="D8"/>
  <c r="E10" i="1"/>
  <c r="H14" i="8"/>
  <c r="H16" s="1"/>
  <c r="H23" s="1"/>
  <c r="J98" i="4"/>
  <c r="J105" s="1"/>
  <c r="J106" s="1"/>
  <c r="K97"/>
  <c r="J99"/>
  <c r="J101" s="1"/>
  <c r="S46" i="9"/>
  <c r="V33"/>
  <c r="X33"/>
  <c r="K57" i="1"/>
  <c r="W31" i="9"/>
  <c r="W33" s="1"/>
  <c r="L103" i="4"/>
  <c r="J18" i="8" s="1"/>
  <c r="J20" s="1"/>
  <c r="L27" i="1"/>
  <c r="L28"/>
  <c r="J8"/>
  <c r="AB22" i="9"/>
  <c r="R57" i="2"/>
  <c r="Q65"/>
  <c r="Q66"/>
  <c r="AA23" i="9"/>
  <c r="AB23"/>
  <c r="AE2"/>
  <c r="AE15"/>
  <c r="AE17" s="1"/>
  <c r="G53" s="1"/>
  <c r="Y22"/>
  <c r="Y24" s="1"/>
  <c r="U24"/>
  <c r="U39" s="1"/>
  <c r="U46" s="1"/>
  <c r="Y46" s="1"/>
  <c r="Y30"/>
  <c r="U33"/>
  <c r="E55"/>
  <c r="E57" s="1"/>
  <c r="S39"/>
  <c r="AA30"/>
  <c r="AA22"/>
  <c r="AA17"/>
  <c r="AE32"/>
  <c r="AD22"/>
  <c r="AD24" s="1"/>
  <c r="AD39" s="1"/>
  <c r="AD46" s="1"/>
  <c r="S33"/>
  <c r="AB30"/>
  <c r="M25" i="1" l="1"/>
  <c r="M26" s="1"/>
  <c r="K15" i="13"/>
  <c r="G29"/>
  <c r="H4" s="1"/>
  <c r="H29" s="1"/>
  <c r="I4" s="1"/>
  <c r="R22"/>
  <c r="K8" i="1"/>
  <c r="K9" s="1"/>
  <c r="I17" i="13"/>
  <c r="R25"/>
  <c r="I14" i="8"/>
  <c r="I16" s="1"/>
  <c r="I23" s="1"/>
  <c r="K98" i="4"/>
  <c r="K105" s="1"/>
  <c r="L97"/>
  <c r="F3" i="1"/>
  <c r="D11" i="8"/>
  <c r="J10"/>
  <c r="L57" i="1"/>
  <c r="Y31" i="9"/>
  <c r="Y33" s="1"/>
  <c r="M103" i="4"/>
  <c r="K18" i="8" s="1"/>
  <c r="J9" i="1"/>
  <c r="I10" i="8"/>
  <c r="M27" i="1"/>
  <c r="M28"/>
  <c r="S57" i="2"/>
  <c r="R65"/>
  <c r="R66"/>
  <c r="AE30" i="9"/>
  <c r="F55"/>
  <c r="F57" s="1"/>
  <c r="Y39"/>
  <c r="AB31"/>
  <c r="AB33" s="1"/>
  <c r="AC31"/>
  <c r="AC33" s="1"/>
  <c r="AA24"/>
  <c r="AA39" s="1"/>
  <c r="AA46" s="1"/>
  <c r="AE22"/>
  <c r="AA31"/>
  <c r="AE23"/>
  <c r="AB24"/>
  <c r="AB39" s="1"/>
  <c r="AB46" s="1"/>
  <c r="N25" i="1" l="1"/>
  <c r="L15" i="13"/>
  <c r="L8" i="1"/>
  <c r="K10" i="8" s="1"/>
  <c r="J17" i="13"/>
  <c r="S17" s="1"/>
  <c r="I22"/>
  <c r="I25"/>
  <c r="L9" i="1"/>
  <c r="M97" i="4"/>
  <c r="M99" s="1"/>
  <c r="M101" s="1"/>
  <c r="J14" i="8"/>
  <c r="J16" s="1"/>
  <c r="J23" s="1"/>
  <c r="L98" i="4"/>
  <c r="L105" s="1"/>
  <c r="E8" i="8"/>
  <c r="F10" i="1"/>
  <c r="E32" i="9"/>
  <c r="E33" s="1"/>
  <c r="E34" s="1"/>
  <c r="F29" s="1"/>
  <c r="N103" i="4"/>
  <c r="L18" i="8" s="1"/>
  <c r="M57" i="1"/>
  <c r="K20" i="8"/>
  <c r="E41" i="9"/>
  <c r="E46" s="1"/>
  <c r="N28" i="1"/>
  <c r="N27"/>
  <c r="S65" i="2"/>
  <c r="S66"/>
  <c r="N26" i="1"/>
  <c r="AE24" i="9"/>
  <c r="AE31"/>
  <c r="AE33" s="1"/>
  <c r="AE46"/>
  <c r="AA33"/>
  <c r="O25" i="1" l="1"/>
  <c r="O26" s="1"/>
  <c r="M15" i="13"/>
  <c r="O15" s="1"/>
  <c r="I29"/>
  <c r="J4" s="1"/>
  <c r="M8" i="1"/>
  <c r="M9" s="1"/>
  <c r="K17" i="13"/>
  <c r="J22"/>
  <c r="S22" s="1"/>
  <c r="J25"/>
  <c r="S25" s="1"/>
  <c r="H64" i="1"/>
  <c r="H65" s="1"/>
  <c r="H66" s="1"/>
  <c r="J62" s="1"/>
  <c r="N97" i="4"/>
  <c r="K14" i="8"/>
  <c r="K16" s="1"/>
  <c r="K23" s="1"/>
  <c r="M98" i="4"/>
  <c r="M105" s="1"/>
  <c r="M106" s="1"/>
  <c r="E11" i="8"/>
  <c r="G3" i="1"/>
  <c r="O103" i="4"/>
  <c r="M18" i="8" s="1"/>
  <c r="M20" s="1"/>
  <c r="L20"/>
  <c r="O28" i="1"/>
  <c r="O27"/>
  <c r="N57"/>
  <c r="L17" i="13" s="1"/>
  <c r="G55" i="9"/>
  <c r="G57" s="1"/>
  <c r="AE39"/>
  <c r="T15" i="13" l="1"/>
  <c r="J29"/>
  <c r="K4" s="1"/>
  <c r="L10" i="8"/>
  <c r="L25" i="13"/>
  <c r="L22"/>
  <c r="K25"/>
  <c r="K22"/>
  <c r="G10" i="1"/>
  <c r="F8" i="8"/>
  <c r="L14"/>
  <c r="L16" s="1"/>
  <c r="L23" s="1"/>
  <c r="N98" i="4"/>
  <c r="N105" s="1"/>
  <c r="O97"/>
  <c r="P103"/>
  <c r="N18" i="8" s="1"/>
  <c r="N20" s="1"/>
  <c r="O20" s="1"/>
  <c r="Q20" s="1"/>
  <c r="N8" i="1"/>
  <c r="O57"/>
  <c r="K29" i="13" l="1"/>
  <c r="L4" s="1"/>
  <c r="O8" i="1"/>
  <c r="N10" i="8" s="1"/>
  <c r="M17" i="13"/>
  <c r="F41" i="9"/>
  <c r="I32" s="1"/>
  <c r="Q103" i="4"/>
  <c r="O18" i="8" s="1"/>
  <c r="Q18" s="1"/>
  <c r="P97" i="4"/>
  <c r="P99" s="1"/>
  <c r="P101" s="1"/>
  <c r="M14" i="8"/>
  <c r="O98" i="4"/>
  <c r="H3" i="1"/>
  <c r="F11" i="8"/>
  <c r="M10"/>
  <c r="N9" i="1"/>
  <c r="P57"/>
  <c r="F32" i="9"/>
  <c r="G41" l="1"/>
  <c r="C56" s="1"/>
  <c r="C57" s="1"/>
  <c r="L29" i="13"/>
  <c r="M4" s="1"/>
  <c r="O9" i="1"/>
  <c r="J64"/>
  <c r="J65" s="1"/>
  <c r="J66" s="1"/>
  <c r="M22" i="13"/>
  <c r="M25"/>
  <c r="T17"/>
  <c r="O17"/>
  <c r="F46" i="9"/>
  <c r="G46" s="1"/>
  <c r="Q97" i="4"/>
  <c r="O105"/>
  <c r="P98"/>
  <c r="P105" s="1"/>
  <c r="N14" i="8"/>
  <c r="N16" s="1"/>
  <c r="N23" s="1"/>
  <c r="H10" i="1"/>
  <c r="G8" i="8"/>
  <c r="M16"/>
  <c r="O14"/>
  <c r="Q14" s="1"/>
  <c r="F33" i="9"/>
  <c r="F34" s="1"/>
  <c r="I29" s="1"/>
  <c r="M29" s="1"/>
  <c r="G32"/>
  <c r="G33" s="1"/>
  <c r="G34" s="1"/>
  <c r="C59" s="1"/>
  <c r="I33"/>
  <c r="I34" s="1"/>
  <c r="J29" s="1"/>
  <c r="J34" s="1"/>
  <c r="K29" s="1"/>
  <c r="K34" s="1"/>
  <c r="L29" s="1"/>
  <c r="L34" s="1"/>
  <c r="O29" s="1"/>
  <c r="M32"/>
  <c r="M33" s="1"/>
  <c r="M29" i="13" l="1"/>
  <c r="O25"/>
  <c r="T25"/>
  <c r="O22"/>
  <c r="T22"/>
  <c r="P106" i="4"/>
  <c r="M23" i="8"/>
  <c r="O16"/>
  <c r="G11"/>
  <c r="I3" i="1"/>
  <c r="Q98" i="4"/>
  <c r="Q105" s="1"/>
  <c r="S29" i="9"/>
  <c r="S34" s="1"/>
  <c r="E59" s="1"/>
  <c r="O34"/>
  <c r="P29" s="1"/>
  <c r="P34" s="1"/>
  <c r="Q29" s="1"/>
  <c r="Q34" s="1"/>
  <c r="R29" s="1"/>
  <c r="R34" s="1"/>
  <c r="U29" s="1"/>
  <c r="M34"/>
  <c r="D59" s="1"/>
  <c r="H8" i="8" l="1"/>
  <c r="I10" i="1"/>
  <c r="Q16" i="8"/>
  <c r="O23"/>
  <c r="Y29" i="9"/>
  <c r="Y34" s="1"/>
  <c r="F59" s="1"/>
  <c r="U34"/>
  <c r="V29" s="1"/>
  <c r="V34" s="1"/>
  <c r="W29" s="1"/>
  <c r="W34" s="1"/>
  <c r="X29" s="1"/>
  <c r="X34" s="1"/>
  <c r="AA29" s="1"/>
  <c r="J3" i="1" l="1"/>
  <c r="H11" i="8"/>
  <c r="AA34" i="9"/>
  <c r="AB29" s="1"/>
  <c r="AB34" s="1"/>
  <c r="AC29" s="1"/>
  <c r="AC34" s="1"/>
  <c r="AD29" s="1"/>
  <c r="AD34" s="1"/>
  <c r="AE29"/>
  <c r="AE34" s="1"/>
  <c r="G59" s="1"/>
  <c r="I8" i="8" l="1"/>
  <c r="J10" i="1"/>
  <c r="I11" i="8" l="1"/>
  <c r="K3" i="1"/>
  <c r="K10" l="1"/>
  <c r="J8" i="8"/>
  <c r="J11" l="1"/>
  <c r="L3" i="1"/>
  <c r="K8" i="8" l="1"/>
  <c r="L10" i="1"/>
  <c r="K11" i="8" l="1"/>
  <c r="M3" i="1"/>
  <c r="L8" i="8" l="1"/>
  <c r="M10" i="1"/>
  <c r="L11" i="8" l="1"/>
  <c r="N3" i="1"/>
  <c r="M8" i="8" l="1"/>
  <c r="N10" i="1"/>
  <c r="M11" i="8" l="1"/>
  <c r="O3" i="1"/>
  <c r="N8" i="8" l="1"/>
  <c r="O10" i="1"/>
  <c r="P10" l="1"/>
  <c r="N11" i="8"/>
</calcChain>
</file>

<file path=xl/comments1.xml><?xml version="1.0" encoding="utf-8"?>
<comments xmlns="http://schemas.openxmlformats.org/spreadsheetml/2006/main">
  <authors>
    <author>Jay Fife</author>
  </authors>
  <commentList>
    <comment ref="E70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Altiris $700 per year
Flex LM $11,700 per year</t>
        </r>
      </text>
    </comment>
    <comment ref="E71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Altiris $700 per year
Flex LM $11,700 per year</t>
        </r>
      </text>
    </comment>
    <comment ref="E72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Autodesk $1,200 per year
Open Design $2,500 per year</t>
        </r>
      </text>
    </comment>
    <comment ref="E81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Altiris $700 per year
Flex LM $11,700 per year</t>
        </r>
      </text>
    </comment>
    <comment ref="E82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Altiris $700 per year
Flex LM $11,700 per year</t>
        </r>
      </text>
    </comment>
    <comment ref="E83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Altiris $700 per year
Flex LM $11,700 per year</t>
        </r>
      </text>
    </comment>
    <comment ref="E84" authorId="0">
      <text>
        <r>
          <rPr>
            <b/>
            <sz val="8"/>
            <color indexed="81"/>
            <rFont val="Tahoma"/>
            <family val="2"/>
          </rPr>
          <t>Jay Fife:</t>
        </r>
        <r>
          <rPr>
            <sz val="8"/>
            <color indexed="81"/>
            <rFont val="Tahoma"/>
            <family val="2"/>
          </rPr>
          <t xml:space="preserve">
A Guo monthly commission</t>
        </r>
      </text>
    </comment>
  </commentList>
</comments>
</file>

<file path=xl/comments2.xml><?xml version="1.0" encoding="utf-8"?>
<comments xmlns="http://schemas.openxmlformats.org/spreadsheetml/2006/main">
  <authors>
    <author>Peter Schroer</author>
  </authors>
  <commentList>
    <comment ref="A45" authorId="0">
      <text>
        <r>
          <rPr>
            <b/>
            <sz val="10"/>
            <color indexed="81"/>
            <rFont val="Tahoma"/>
          </rPr>
          <t>Peter Schroer:</t>
        </r>
        <r>
          <rPr>
            <sz val="10"/>
            <color indexed="81"/>
            <rFont val="Tahoma"/>
          </rPr>
          <t xml:space="preserve">
Partner Support and off-load IT and Web Site programming from Peter</t>
        </r>
      </text>
    </comment>
    <comment ref="A48" authorId="0">
      <text>
        <r>
          <rPr>
            <b/>
            <sz val="10"/>
            <color indexed="81"/>
            <rFont val="Tahoma"/>
          </rPr>
          <t>Peter Schroer:</t>
        </r>
        <r>
          <rPr>
            <sz val="10"/>
            <color indexed="81"/>
            <rFont val="Tahoma"/>
          </rPr>
          <t xml:space="preserve">
Partner and Customer training.  Curriculum needs 100% re-write.   Will work on product documentation next.
</t>
        </r>
      </text>
    </comment>
    <comment ref="A49" authorId="0">
      <text>
        <r>
          <rPr>
            <b/>
            <sz val="10"/>
            <color indexed="81"/>
            <rFont val="Tahoma"/>
          </rPr>
          <t>Peter Schroer:</t>
        </r>
        <r>
          <rPr>
            <sz val="10"/>
            <color indexed="81"/>
            <rFont val="Tahoma"/>
          </rPr>
          <t xml:space="preserve">
Marketing needs white papers, PR, articles, blog posts, web pages for better SEO Lead Gen
</t>
        </r>
      </text>
    </comment>
    <comment ref="A51" authorId="0">
      <text>
        <r>
          <rPr>
            <b/>
            <sz val="10"/>
            <color indexed="81"/>
            <rFont val="Tahoma"/>
          </rPr>
          <t>Peter Schroer:</t>
        </r>
        <r>
          <rPr>
            <sz val="10"/>
            <color indexed="81"/>
            <rFont val="Tahoma"/>
          </rPr>
          <t xml:space="preserve">
Off-load demo's from Marc to allow more Lead Gen Marketing</t>
        </r>
      </text>
    </comment>
  </commentList>
</comments>
</file>

<file path=xl/sharedStrings.xml><?xml version="1.0" encoding="utf-8"?>
<sst xmlns="http://schemas.openxmlformats.org/spreadsheetml/2006/main" count="1062" uniqueCount="545">
  <si>
    <t>Beginning Cash Balance</t>
  </si>
  <si>
    <t>L3</t>
  </si>
  <si>
    <t>Sonnax</t>
  </si>
  <si>
    <t>IR Athens</t>
  </si>
  <si>
    <t>Rolls Royce</t>
  </si>
  <si>
    <t>Lockheed</t>
  </si>
  <si>
    <t>Fox</t>
  </si>
  <si>
    <t>Fredenberg SAS</t>
  </si>
  <si>
    <t>US Army</t>
  </si>
  <si>
    <t>Structural Concepts</t>
  </si>
  <si>
    <t>Motorola, Inc.</t>
  </si>
  <si>
    <t>Freudenberg -NOK</t>
  </si>
  <si>
    <t>SRC Syracuse Research Corp</t>
  </si>
  <si>
    <t>Total Collections</t>
  </si>
  <si>
    <t>Expenses</t>
  </si>
  <si>
    <t>Workers Comp Insurance</t>
  </si>
  <si>
    <t>T&amp;E</t>
  </si>
  <si>
    <t>Tax Prep Fees</t>
  </si>
  <si>
    <t>Bank Charges</t>
  </si>
  <si>
    <t>Payroll Fees</t>
  </si>
  <si>
    <t xml:space="preserve">Misc  </t>
  </si>
  <si>
    <t>Ending Cash</t>
  </si>
  <si>
    <t xml:space="preserve">Last </t>
  </si>
  <si>
    <t xml:space="preserve">First </t>
  </si>
  <si>
    <t>Job Title</t>
  </si>
  <si>
    <t>Name</t>
  </si>
  <si>
    <t>Location</t>
  </si>
  <si>
    <t>Salary</t>
  </si>
  <si>
    <t>President</t>
  </si>
  <si>
    <t>Schroer</t>
  </si>
  <si>
    <t>Peter</t>
  </si>
  <si>
    <t>Lind</t>
  </si>
  <si>
    <t>Marc</t>
  </si>
  <si>
    <t>Beaulieu</t>
  </si>
  <si>
    <t>Mark</t>
  </si>
  <si>
    <t>Consultant</t>
  </si>
  <si>
    <t>Mukai</t>
  </si>
  <si>
    <t>Juro</t>
  </si>
  <si>
    <t>Turner</t>
  </si>
  <si>
    <t>Bill</t>
  </si>
  <si>
    <t>Hodge</t>
  </si>
  <si>
    <t>Jon</t>
  </si>
  <si>
    <t>Rasin</t>
  </si>
  <si>
    <t>Gregory</t>
  </si>
  <si>
    <t>Andrey</t>
  </si>
  <si>
    <t>Knourenko</t>
  </si>
  <si>
    <t>Total Expenses</t>
  </si>
  <si>
    <t xml:space="preserve">Delphi </t>
  </si>
  <si>
    <t xml:space="preserve">Total Expenses </t>
  </si>
  <si>
    <t>Current A/R by due date</t>
  </si>
  <si>
    <t>HEADCOUNT</t>
  </si>
  <si>
    <t>MARKETING</t>
  </si>
  <si>
    <t>Net Monthly Cash Flow</t>
  </si>
  <si>
    <t>Karen</t>
  </si>
  <si>
    <t>Health Insurance                      per head:</t>
  </si>
  <si>
    <t>Principal Life, Dental and Disability   per:</t>
  </si>
  <si>
    <t>Total Headcount</t>
  </si>
  <si>
    <t>Total Salary Expense</t>
  </si>
  <si>
    <t>Aras Corporation - Cash Plan</t>
  </si>
  <si>
    <t xml:space="preserve">Rent and Electricity </t>
  </si>
  <si>
    <t>APR</t>
  </si>
  <si>
    <t>MAY</t>
  </si>
  <si>
    <t>JUL</t>
  </si>
  <si>
    <t>AUG</t>
  </si>
  <si>
    <t>OCT</t>
  </si>
  <si>
    <t>FEB</t>
  </si>
  <si>
    <t>DEC</t>
  </si>
  <si>
    <t>JAN</t>
  </si>
  <si>
    <t>MAR</t>
  </si>
  <si>
    <t>JUN</t>
  </si>
  <si>
    <t>(see sheet)</t>
  </si>
  <si>
    <t>Cash Collections</t>
  </si>
  <si>
    <t>CUSTOMER</t>
  </si>
  <si>
    <t>TOTAL</t>
  </si>
  <si>
    <t>Ogihara</t>
  </si>
  <si>
    <t>New CONSULTING PO's</t>
  </si>
  <si>
    <t>Microsoft LiveMeeting Web Conferencing</t>
  </si>
  <si>
    <t>Premiere Teleconferencing Service</t>
  </si>
  <si>
    <t>Salaries</t>
  </si>
  <si>
    <t>Marketing</t>
  </si>
  <si>
    <t>NOV</t>
  </si>
  <si>
    <t>SS tax @ 8.0%</t>
  </si>
  <si>
    <t xml:space="preserve">Misc </t>
  </si>
  <si>
    <t>Andover</t>
  </si>
  <si>
    <t>YES</t>
  </si>
  <si>
    <t>NO</t>
  </si>
  <si>
    <t xml:space="preserve">HLI </t>
  </si>
  <si>
    <t>Equipment Lease &amp; Rental Payments</t>
  </si>
  <si>
    <t>Postage</t>
  </si>
  <si>
    <t>VenCore Traunch #1 Debt Service</t>
  </si>
  <si>
    <t>Accounts Payable Reduction</t>
  </si>
  <si>
    <t>SEP</t>
  </si>
  <si>
    <t>HIGH</t>
  </si>
  <si>
    <t>LOW</t>
  </si>
  <si>
    <t>NONE</t>
  </si>
  <si>
    <t>NSK</t>
  </si>
  <si>
    <t>Collections from New Subscriptions</t>
  </si>
  <si>
    <t>Swagelok</t>
  </si>
  <si>
    <t>Moro</t>
  </si>
  <si>
    <t>Russ</t>
  </si>
  <si>
    <t>VenCore Traunch #2 Debt Service</t>
  </si>
  <si>
    <t>Jen</t>
  </si>
  <si>
    <t>Mccullough</t>
  </si>
  <si>
    <t>Commercial and D&amp;O  Insurance</t>
  </si>
  <si>
    <t>Telephone  (local + long distance + cells)</t>
  </si>
  <si>
    <t>Printing (Bcards, Brochures)</t>
  </si>
  <si>
    <t>Internet T1 (and remote office internet)</t>
  </si>
  <si>
    <t>Legal (incl. A/R balance pay down)</t>
  </si>
  <si>
    <t>Office Supplies (staples, water, coffee)</t>
  </si>
  <si>
    <t>Certifications, Memberships</t>
  </si>
  <si>
    <t>VP Consulting</t>
  </si>
  <si>
    <t>VP Marketing</t>
  </si>
  <si>
    <t>VP Engineering</t>
  </si>
  <si>
    <t>Florida</t>
  </si>
  <si>
    <t>Misc H/W and S/W and Support</t>
  </si>
  <si>
    <t xml:space="preserve">Loadspring Hosting </t>
  </si>
  <si>
    <t xml:space="preserve">Outsourced Consulting  </t>
  </si>
  <si>
    <t xml:space="preserve"> </t>
  </si>
  <si>
    <t xml:space="preserve">Xerox </t>
  </si>
  <si>
    <t>Renewal Billings</t>
  </si>
  <si>
    <t>ACCO Swingline</t>
  </si>
  <si>
    <t>New Era Ohio</t>
  </si>
  <si>
    <t>U of Washington</t>
  </si>
  <si>
    <t>ACCO Binders</t>
  </si>
  <si>
    <t>Nemak</t>
  </si>
  <si>
    <t>The GSI Group</t>
  </si>
  <si>
    <t>totals</t>
  </si>
  <si>
    <t>Search Marketing (Google / MSN)</t>
  </si>
  <si>
    <t>Event Attendance</t>
  </si>
  <si>
    <t>Plan 2</t>
  </si>
  <si>
    <t>Plan 3</t>
  </si>
  <si>
    <t>Plan 1</t>
  </si>
  <si>
    <t>Cash
Totals</t>
  </si>
  <si>
    <t>PO BOOKING
AMOUNT</t>
  </si>
  <si>
    <t>New SUBSCRIPTION PO's</t>
  </si>
  <si>
    <t>start</t>
  </si>
  <si>
    <t>-</t>
  </si>
  <si>
    <t>Partner Manager</t>
  </si>
  <si>
    <t>PO BOOKING
DATE</t>
  </si>
  <si>
    <t>New Subscriptions</t>
  </si>
  <si>
    <t>New Consulting</t>
  </si>
  <si>
    <t>BOOKINGS PLAN</t>
  </si>
  <si>
    <t>REVENUE PLAN</t>
  </si>
  <si>
    <t xml:space="preserve">Subscription </t>
  </si>
  <si>
    <t>Net</t>
  </si>
  <si>
    <t>Total Revenue</t>
  </si>
  <si>
    <t>Revenue</t>
  </si>
  <si>
    <t>Subscription</t>
  </si>
  <si>
    <t>Consulting</t>
  </si>
  <si>
    <r>
      <t xml:space="preserve">Bookings </t>
    </r>
    <r>
      <rPr>
        <b/>
        <sz val="10"/>
        <rFont val="Arial"/>
        <family val="2"/>
      </rPr>
      <t>(new PO's)</t>
    </r>
  </si>
  <si>
    <t>Total</t>
  </si>
  <si>
    <t>%
Change</t>
  </si>
  <si>
    <t>Starting Cash Balance</t>
  </si>
  <si>
    <t>Cash Flow</t>
  </si>
  <si>
    <t>Collections</t>
  </si>
  <si>
    <t>Ending Cash Balance</t>
  </si>
  <si>
    <t>Expenses &amp; Cash Usage</t>
  </si>
  <si>
    <t>BOOKINGS</t>
  </si>
  <si>
    <t>Q2</t>
  </si>
  <si>
    <t>Q3</t>
  </si>
  <si>
    <t>Q4</t>
  </si>
  <si>
    <t>Q1</t>
  </si>
  <si>
    <t>TOTAL BOOKINGS</t>
  </si>
  <si>
    <t>REVENUE</t>
  </si>
  <si>
    <t>TOTAL REVENUE</t>
  </si>
  <si>
    <t>Starting Cash</t>
  </si>
  <si>
    <t xml:space="preserve">Net Cash Flow </t>
  </si>
  <si>
    <t>Subscription  (% of Booking in Qtr)</t>
  </si>
  <si>
    <t>Consulting     (% of Revenue in Qtr)</t>
  </si>
  <si>
    <t>Expenses      (% in Quarter)</t>
  </si>
  <si>
    <t>All Numbers in $K</t>
  </si>
  <si>
    <t>Qty</t>
  </si>
  <si>
    <t>$</t>
  </si>
  <si>
    <t>Expenses-Payroll</t>
  </si>
  <si>
    <t>Expenses-Other</t>
  </si>
  <si>
    <t>Customers</t>
  </si>
  <si>
    <t>Subscription (% offset into next quarter)</t>
  </si>
  <si>
    <t>Services (% offset into next quarter)</t>
  </si>
  <si>
    <t>VP EMEA</t>
  </si>
  <si>
    <t>Car</t>
  </si>
  <si>
    <t xml:space="preserve">CASH FLOW </t>
  </si>
  <si>
    <t>Year</t>
  </si>
  <si>
    <t>ENDING CASH</t>
  </si>
  <si>
    <t>INCOME STMT</t>
  </si>
  <si>
    <t>Net Income</t>
  </si>
  <si>
    <t>ARAS BUSINESS PLAN</t>
  </si>
  <si>
    <t>North America</t>
  </si>
  <si>
    <t>EMEA</t>
  </si>
  <si>
    <t>Benefits</t>
  </si>
  <si>
    <t>Qtrly Payroll Cost</t>
  </si>
  <si>
    <t>Bookings</t>
  </si>
  <si>
    <t>Headcount</t>
  </si>
  <si>
    <r>
      <t xml:space="preserve">Net </t>
    </r>
    <r>
      <rPr>
        <b/>
        <sz val="9"/>
        <rFont val="Arial"/>
        <family val="2"/>
      </rPr>
      <t>(before tax)</t>
    </r>
  </si>
  <si>
    <t>ITT</t>
  </si>
  <si>
    <t>BVR Technologies</t>
  </si>
  <si>
    <t>EverFocus</t>
  </si>
  <si>
    <t>2009 Booking
Amount</t>
  </si>
  <si>
    <t>2009 Booking
Date</t>
  </si>
  <si>
    <t>Q1 2009</t>
  </si>
  <si>
    <t>Q2 2009</t>
  </si>
  <si>
    <t>Q3 2009</t>
  </si>
  <si>
    <t>Q4 2009</t>
  </si>
  <si>
    <t>Other Sources Of Cash</t>
  </si>
  <si>
    <t>Defered Liabilities Paid</t>
  </si>
  <si>
    <t>ARAS EMEA</t>
  </si>
  <si>
    <t>Allen Vanguard</t>
  </si>
  <si>
    <t>Mega Brands</t>
  </si>
  <si>
    <t>UBIDYNE</t>
  </si>
  <si>
    <t>Project
continues in '10</t>
  </si>
  <si>
    <t>Growth</t>
  </si>
  <si>
    <t>Total Booking 2009</t>
  </si>
  <si>
    <t>EACH</t>
  </si>
  <si>
    <t>Subscription Renewals</t>
  </si>
  <si>
    <t>Sean</t>
  </si>
  <si>
    <t>MARKETING - EMEA Managed</t>
  </si>
  <si>
    <t>MARKETING - Boston Managed</t>
  </si>
  <si>
    <t>QA/Support</t>
  </si>
  <si>
    <t>Coleman</t>
  </si>
  <si>
    <t>Trainer</t>
  </si>
  <si>
    <t>Marketing Writer</t>
  </si>
  <si>
    <t>Tech Writer</t>
  </si>
  <si>
    <t>Apps Engineer</t>
  </si>
  <si>
    <t>McAveney</t>
  </si>
  <si>
    <t>Rob</t>
  </si>
  <si>
    <t>California</t>
  </si>
  <si>
    <t xml:space="preserve">  HR/Accounting</t>
  </si>
  <si>
    <t xml:space="preserve">  Director Sales</t>
  </si>
  <si>
    <t xml:space="preserve">  Consultant</t>
  </si>
  <si>
    <t xml:space="preserve">  Architect</t>
  </si>
  <si>
    <t xml:space="preserve">  QA/Support Mgr</t>
  </si>
  <si>
    <t xml:space="preserve">     QA/Support</t>
  </si>
  <si>
    <t xml:space="preserve">  Dir Prod Mgmt</t>
  </si>
  <si>
    <t xml:space="preserve">  Partner Manager</t>
  </si>
  <si>
    <t xml:space="preserve">  Technical Lead</t>
  </si>
  <si>
    <t>Allemann</t>
  </si>
  <si>
    <t>Martin</t>
  </si>
  <si>
    <t>Mueller</t>
  </si>
  <si>
    <t>Andreas</t>
  </si>
  <si>
    <t>Laudenbach</t>
  </si>
  <si>
    <t>Rolf</t>
  </si>
  <si>
    <t>EUROS</t>
  </si>
  <si>
    <t>QA / Support</t>
  </si>
  <si>
    <t>External Telemarketing</t>
  </si>
  <si>
    <t>SEO / Web Site Consulting</t>
  </si>
  <si>
    <t>External Writing</t>
  </si>
  <si>
    <t>PR Retainer</t>
  </si>
  <si>
    <t>Interns</t>
  </si>
  <si>
    <t>CMII Conference</t>
  </si>
  <si>
    <t>Other Conferences</t>
  </si>
  <si>
    <t>Total Marketing Spend $</t>
  </si>
  <si>
    <t>Total Marketing Expense $</t>
  </si>
  <si>
    <r>
      <t xml:space="preserve">Total Marketing Expense </t>
    </r>
    <r>
      <rPr>
        <b/>
        <sz val="11"/>
        <rFont val="Arial"/>
      </rPr>
      <t>€</t>
    </r>
  </si>
  <si>
    <t>Referral Program / Promotions</t>
  </si>
  <si>
    <t>Advertising</t>
  </si>
  <si>
    <t>Aras Community Events</t>
  </si>
  <si>
    <t>date</t>
  </si>
  <si>
    <t>Commissions (% of all subscription cash receipts )</t>
  </si>
  <si>
    <t>Collections from Subscriptions Renewals</t>
  </si>
  <si>
    <t>FDS</t>
  </si>
  <si>
    <t>XEROX</t>
  </si>
  <si>
    <t>Renewal
Date</t>
  </si>
  <si>
    <t>CASH
Amount</t>
  </si>
  <si>
    <t>Assume Cash Receipt date is Renewal Date because invoices are sent 45 days early</t>
  </si>
  <si>
    <t>is lower because of multi-year agreements</t>
  </si>
  <si>
    <t>ECI</t>
  </si>
  <si>
    <t>Freudenberg- FDS</t>
  </si>
  <si>
    <t>multi- year</t>
  </si>
  <si>
    <t>replaced by FDS</t>
  </si>
  <si>
    <t>Ansaldo</t>
  </si>
  <si>
    <t>Bonner</t>
  </si>
  <si>
    <t>Kerry</t>
  </si>
  <si>
    <t>Q1-1</t>
  </si>
  <si>
    <t>Q1-2</t>
  </si>
  <si>
    <t>Q1-3</t>
  </si>
  <si>
    <t>Q1-4</t>
  </si>
  <si>
    <t>Q1-5</t>
  </si>
  <si>
    <t>Q1-6</t>
  </si>
  <si>
    <t>Q1-7</t>
  </si>
  <si>
    <t>Q2-1</t>
  </si>
  <si>
    <t>Q2-2</t>
  </si>
  <si>
    <t>Q2-3</t>
  </si>
  <si>
    <t>Q2-4</t>
  </si>
  <si>
    <t>Q2-5</t>
  </si>
  <si>
    <t>Q2-6</t>
  </si>
  <si>
    <t>Q3-1</t>
  </si>
  <si>
    <t>Q3-2</t>
  </si>
  <si>
    <t>Q3-3</t>
  </si>
  <si>
    <t>Q3-4</t>
  </si>
  <si>
    <t>Q3-5</t>
  </si>
  <si>
    <t>Q3-7</t>
  </si>
  <si>
    <t>Q4-2</t>
  </si>
  <si>
    <t>Q4-3</t>
  </si>
  <si>
    <t>Q4-5</t>
  </si>
  <si>
    <t>Q4-6</t>
  </si>
  <si>
    <t>Q4-7</t>
  </si>
  <si>
    <t>Q4-8</t>
  </si>
  <si>
    <t>Q4-9</t>
  </si>
  <si>
    <t>Q4-1</t>
  </si>
  <si>
    <t>Consulting Sanity Check</t>
  </si>
  <si>
    <t xml:space="preserve">Collecting </t>
  </si>
  <si>
    <t>Utilization</t>
  </si>
  <si>
    <t>of consulting</t>
  </si>
  <si>
    <t>Q1-8</t>
  </si>
  <si>
    <t>Q2-7</t>
  </si>
  <si>
    <t>( 52 weeks )</t>
  </si>
  <si>
    <t>Q3-8</t>
  </si>
  <si>
    <t>2008 Actual</t>
  </si>
  <si>
    <t>Q3-9</t>
  </si>
  <si>
    <t>Q4-10</t>
  </si>
  <si>
    <t xml:space="preserve">Q4-4 </t>
  </si>
  <si>
    <t xml:space="preserve">Q1-9 </t>
  </si>
  <si>
    <t xml:space="preserve">Q3-6 </t>
  </si>
  <si>
    <t>Q1-5a</t>
  </si>
  <si>
    <t>2008 Actuals</t>
  </si>
  <si>
    <t>Net Flow</t>
  </si>
  <si>
    <r>
      <t xml:space="preserve">Cash Collection Month
</t>
    </r>
    <r>
      <rPr>
        <sz val="12"/>
        <rFont val="Arial"/>
        <family val="2"/>
      </rPr>
      <t>Ignores Oppty for Downpayments</t>
    </r>
  </si>
  <si>
    <t>Q1-1p</t>
  </si>
  <si>
    <t>Q1-5b</t>
  </si>
  <si>
    <t>Q2-2p</t>
  </si>
  <si>
    <t>Q3-10</t>
  </si>
  <si>
    <t>Q3-11</t>
  </si>
  <si>
    <t>2009
TOTAL</t>
  </si>
  <si>
    <t>2008
Actual</t>
  </si>
  <si>
    <t>APAC</t>
  </si>
  <si>
    <t>Region</t>
  </si>
  <si>
    <t>NA</t>
  </si>
  <si>
    <t>API Architect / Support</t>
  </si>
  <si>
    <t>Q1-3b</t>
  </si>
  <si>
    <t>Swiss</t>
  </si>
  <si>
    <t>Munich</t>
  </si>
  <si>
    <t>Stuttgart</t>
  </si>
  <si>
    <t>estimates</t>
  </si>
  <si>
    <t>Analyst Fees</t>
  </si>
  <si>
    <t>Highest Priority Hires</t>
  </si>
  <si>
    <t>Trainer   for Partner Support and to keep consultants billable.   Will also work on product documentation</t>
  </si>
  <si>
    <t>increase in cash</t>
  </si>
  <si>
    <t>2009 THEME - SCALABILITY</t>
  </si>
  <si>
    <t>Apps Engineer to offload sales demos from Peter and Marc,  freeing capacity for more Marketing</t>
  </si>
  <si>
    <t>ARAS US</t>
  </si>
  <si>
    <t>SUBSCRIPTION RENEWALS</t>
  </si>
  <si>
    <t>License</t>
  </si>
  <si>
    <t>ACTIFY</t>
  </si>
  <si>
    <t>Tom</t>
  </si>
  <si>
    <t>Bob</t>
  </si>
  <si>
    <t>Ellis</t>
  </si>
  <si>
    <t xml:space="preserve">Aras Outsource Development  </t>
  </si>
  <si>
    <t>ARAS PLANNED HIRES</t>
  </si>
  <si>
    <t>ARAS EMEA HIRING</t>
  </si>
  <si>
    <t>Jacob Burwell</t>
  </si>
  <si>
    <t>Ty Myers</t>
  </si>
  <si>
    <t>Ken Millard</t>
  </si>
  <si>
    <t>Jim Vassello</t>
  </si>
  <si>
    <t>Krishna Kunam</t>
  </si>
  <si>
    <t>Joe Schafer</t>
  </si>
  <si>
    <t>Joe Ho</t>
  </si>
  <si>
    <t>Elana Black</t>
  </si>
  <si>
    <t>Jeff Hunyh</t>
  </si>
  <si>
    <t>Abhijit Deshmukh</t>
  </si>
  <si>
    <t>Terry Rozzano</t>
  </si>
  <si>
    <t>Charrise Hernandez</t>
  </si>
  <si>
    <t>David Campbell</t>
  </si>
  <si>
    <t>Graham Hill</t>
  </si>
  <si>
    <t>Chris Jones</t>
  </si>
  <si>
    <t>Dave Opsahl</t>
  </si>
  <si>
    <t>Jay Fife</t>
  </si>
  <si>
    <t>Accounting</t>
  </si>
  <si>
    <t>Inside Sales</t>
  </si>
  <si>
    <t>Sales Engineer</t>
  </si>
  <si>
    <t>Director Engineering</t>
  </si>
  <si>
    <t>Sales Operations/IT</t>
  </si>
  <si>
    <t>Release Engineer</t>
  </si>
  <si>
    <t>Graphics Engineer</t>
  </si>
  <si>
    <t>Marketing Manager</t>
  </si>
  <si>
    <t>CA</t>
  </si>
  <si>
    <t>MI</t>
  </si>
  <si>
    <t>NH</t>
  </si>
  <si>
    <t>UK</t>
  </si>
  <si>
    <t>DE</t>
  </si>
  <si>
    <t>$4M incremental bookings</t>
  </si>
  <si>
    <t>Cash breakeven</t>
  </si>
  <si>
    <t xml:space="preserve">Leads - 750 customers on support </t>
  </si>
  <si>
    <t>Channel partners world-wide</t>
  </si>
  <si>
    <t>Loss in License revenue declines faster than Subscription revneue grows.       $1.5M risk</t>
  </si>
  <si>
    <t>Development costs for integration of the 2 products</t>
  </si>
  <si>
    <t>Development costs to partion SpinFire for open source version</t>
  </si>
  <si>
    <t>Licensed Libraries for conversions</t>
  </si>
  <si>
    <t>Opportunity</t>
  </si>
  <si>
    <t>SaaS capital financing</t>
  </si>
  <si>
    <t>VP Finance</t>
  </si>
  <si>
    <t>WHAT-IF</t>
  </si>
  <si>
    <t>VenCore  $1M for Marketing Launch</t>
  </si>
  <si>
    <t>1 / 0</t>
  </si>
  <si>
    <t>Actify Acquisition</t>
  </si>
  <si>
    <t>Bird Foundation $300k Grant</t>
  </si>
  <si>
    <t>Accounts Receivables</t>
  </si>
  <si>
    <t>Royalties</t>
  </si>
  <si>
    <t>Cash</t>
  </si>
  <si>
    <t>Operating Expenses</t>
  </si>
  <si>
    <t>VenCore Traunch #3 Debt Service</t>
  </si>
  <si>
    <t>Collections from New Consulting Bookings</t>
  </si>
  <si>
    <t>Outsourced Development</t>
  </si>
  <si>
    <t xml:space="preserve">VP </t>
  </si>
  <si>
    <t>HR / Accounting</t>
  </si>
  <si>
    <t>Regional Mgr - C/E Europe</t>
  </si>
  <si>
    <t>Regional Mgr - N/S Europe</t>
  </si>
  <si>
    <t>Director QA/Support</t>
  </si>
  <si>
    <t>Director Product Mgmt</t>
  </si>
  <si>
    <t>Regional Mgr - US</t>
  </si>
  <si>
    <t>Ellen</t>
  </si>
  <si>
    <t>college new hire</t>
  </si>
  <si>
    <t>ACTIFY Maintenance Renewals</t>
  </si>
  <si>
    <t>ACTIFY Consulting</t>
  </si>
  <si>
    <t>Existing Aras customer expansions</t>
  </si>
  <si>
    <t>ACTIFY Subscriptions (New + Renew)</t>
  </si>
  <si>
    <t>Maintenance Renewals</t>
  </si>
  <si>
    <t>BOOKINGS DATA FROM DAVE</t>
  </si>
  <si>
    <t>Maintenance retention</t>
  </si>
  <si>
    <t>Maintenance Renewals PLAN</t>
  </si>
  <si>
    <t>New Licenses</t>
  </si>
  <si>
    <t>New Subscriptions PLAN</t>
  </si>
  <si>
    <t>Consulting PLAN</t>
  </si>
  <si>
    <t>Dave's Plan</t>
  </si>
  <si>
    <t>Aras Version</t>
  </si>
  <si>
    <t>ACTIFY New Subscriptions</t>
  </si>
  <si>
    <t>New Subscriptions (open source effect</t>
  </si>
  <si>
    <t>Cash Flow of Actify Alone</t>
  </si>
  <si>
    <t>using David's bookings plan</t>
  </si>
  <si>
    <t>Increase Partner Channel Size and Partner Capabilities -  finding new partners,  and better training for exisitng partners</t>
  </si>
  <si>
    <t>Increase Marketing Leads Flow - primarily web site and search improvements.  Driven by quality of content posted.</t>
  </si>
  <si>
    <t>Product beomes more Scalable for larger customer installations - distributed computing, performance, languages, tools</t>
  </si>
  <si>
    <t xml:space="preserve">Marketing Writer   for web search content creation </t>
  </si>
  <si>
    <t>QA/Support   for Partner Support and off-load IT and internal systemprogramming from Peter</t>
  </si>
  <si>
    <t>Next Priority Hires</t>
  </si>
  <si>
    <t>Risk</t>
  </si>
  <si>
    <t>Negotiate with  Adobe to reduce royaalties and increase joint marketing investment</t>
  </si>
  <si>
    <t>Cross selling customer bases and  revenue growth through larger partner channel</t>
  </si>
  <si>
    <t>VenCore venture debt financing</t>
  </si>
  <si>
    <t xml:space="preserve">Bird Foundation Grant - possible $300k in January.  
                Increase Marketing Spend in Q2-Q4
                accelerate hire of 2nd new QA/Support engineer
                accelerate hire of tech writer </t>
  </si>
  <si>
    <t>Opptortunities (see what-if area on CASH FLOW tab)</t>
  </si>
  <si>
    <t>Viewer Application to complement Aras Innovator</t>
  </si>
  <si>
    <t>adds 17 people - including senior talent that is needed (finance, apps engineers for sales, product management)</t>
  </si>
  <si>
    <r>
      <t xml:space="preserve">Cash Collection Month
</t>
    </r>
    <r>
      <rPr>
        <sz val="12"/>
        <rFont val="Arial"/>
        <family val="2"/>
      </rPr>
      <t>Assumes all PO's are 1 Year Term Only</t>
    </r>
  </si>
  <si>
    <t>BRIC</t>
  </si>
  <si>
    <t/>
  </si>
  <si>
    <t>Acct</t>
  </si>
  <si>
    <t>Description</t>
  </si>
  <si>
    <t>12 Mo Average</t>
  </si>
  <si>
    <t>Payroll</t>
  </si>
  <si>
    <t>Commissions</t>
  </si>
  <si>
    <t>Bonuses</t>
  </si>
  <si>
    <t>PTO</t>
  </si>
  <si>
    <t>Temporary Services</t>
  </si>
  <si>
    <t>Employee Incentives</t>
  </si>
  <si>
    <t>Health/Life Insurance</t>
  </si>
  <si>
    <t>Payroll Taxes</t>
  </si>
  <si>
    <t>Advertising &amp; Promotions</t>
  </si>
  <si>
    <t>Brochures/Collatoral</t>
  </si>
  <si>
    <t>Events</t>
  </si>
  <si>
    <t>Trade Shows</t>
  </si>
  <si>
    <t>Total Advertising &amp; Promotions</t>
  </si>
  <si>
    <t>Product Development</t>
  </si>
  <si>
    <t>Total Product Development Costs</t>
  </si>
  <si>
    <t>Printing Expense</t>
  </si>
  <si>
    <t>Office Supplies</t>
  </si>
  <si>
    <t>Computer Supplies</t>
  </si>
  <si>
    <t>Software</t>
  </si>
  <si>
    <t>Shipping/Postage</t>
  </si>
  <si>
    <t>Total Office Supplies</t>
  </si>
  <si>
    <t>Travel-Airfare</t>
  </si>
  <si>
    <t>Travel-Lodging</t>
  </si>
  <si>
    <t>Travel-Meals &amp; Entertainment</t>
  </si>
  <si>
    <t>Travel - Miscellaneous</t>
  </si>
  <si>
    <t>Travel-Vehicle Operations</t>
  </si>
  <si>
    <t>Total Travel</t>
  </si>
  <si>
    <t>Rent</t>
  </si>
  <si>
    <t>Telephone</t>
  </si>
  <si>
    <t>Cellular Phone</t>
  </si>
  <si>
    <t>Internet/Network</t>
  </si>
  <si>
    <t>Employee Meetings</t>
  </si>
  <si>
    <t>Facilities Maint &amp; Repair</t>
  </si>
  <si>
    <t>Total Facilities Costs</t>
  </si>
  <si>
    <t>Hardware Repair</t>
  </si>
  <si>
    <t>Software Maintenance Contract</t>
  </si>
  <si>
    <t>Software Licenses/Leases</t>
  </si>
  <si>
    <t>Hardware Leases</t>
  </si>
  <si>
    <t>Total Office Equipment</t>
  </si>
  <si>
    <t>State &amp; Local Tax Expense</t>
  </si>
  <si>
    <t>Other Taxes, Fees &amp; Licenses</t>
  </si>
  <si>
    <t>Personal Property Tax</t>
  </si>
  <si>
    <t>Total Taxes</t>
  </si>
  <si>
    <t>Dues &amp; Memberships</t>
  </si>
  <si>
    <t>Publications &amp; Subscriptions</t>
  </si>
  <si>
    <t>Seminars &amp; Conferences</t>
  </si>
  <si>
    <t>45200</t>
  </si>
  <si>
    <t>Third-Party Commissions</t>
  </si>
  <si>
    <t>Recruiting Services</t>
  </si>
  <si>
    <t>Professional Services</t>
  </si>
  <si>
    <t>Consulting Services</t>
  </si>
  <si>
    <t>Legal Fees</t>
  </si>
  <si>
    <t>Audit Services</t>
  </si>
  <si>
    <t>Accounting &amp; Tax Services</t>
  </si>
  <si>
    <t>Total Consulting &amp; Professional Fees</t>
  </si>
  <si>
    <t>Bank Service Fees</t>
  </si>
  <si>
    <t>Administrative Fees</t>
  </si>
  <si>
    <t>Bad Debt Expense</t>
  </si>
  <si>
    <t>General Insurance</t>
  </si>
  <si>
    <t>Miscellaneous Expenses</t>
  </si>
  <si>
    <t>Total Other Expenses</t>
  </si>
  <si>
    <t>Depr Exp - Computers</t>
  </si>
  <si>
    <t>Depr Exp-Office Equipment</t>
  </si>
  <si>
    <t>Amort Exp-Software</t>
  </si>
  <si>
    <t>Amort Exp-Leasehold Improvemen</t>
  </si>
  <si>
    <t>Total Depreciation &amp; Amortization</t>
  </si>
  <si>
    <t>Total Overhead</t>
  </si>
  <si>
    <t>929000</t>
  </si>
  <si>
    <t>Payroll Employees</t>
  </si>
  <si>
    <t>930000</t>
  </si>
  <si>
    <t>Part-time Employees</t>
  </si>
  <si>
    <t>Actify Planned Marketing Expenses</t>
  </si>
  <si>
    <t>Note: From Actify Budget Worksheet</t>
  </si>
  <si>
    <t>Aras/Actify Corporation FY09 ProForma Operating Plan</t>
  </si>
  <si>
    <t>TOTAL OPERATING EXPENSES</t>
  </si>
  <si>
    <t>Salaries - Aras</t>
  </si>
  <si>
    <t>Salaries - Actify</t>
  </si>
  <si>
    <t>Other Operating Expenses - Aras</t>
  </si>
  <si>
    <t>Other Operating Expenses - Actify</t>
  </si>
  <si>
    <t>OPERATING EXPENSES</t>
  </si>
  <si>
    <t>Total Aras Operating Expenses</t>
  </si>
  <si>
    <t>Total Actify Operating Expenses</t>
  </si>
  <si>
    <t>BEGINNING CASH</t>
  </si>
  <si>
    <t>COLLECTIONS</t>
  </si>
  <si>
    <t>Aras Collections</t>
  </si>
  <si>
    <t>Actify Collections</t>
  </si>
  <si>
    <t>TOTAL COLLECTIONS</t>
  </si>
  <si>
    <t>Total Bookings</t>
  </si>
  <si>
    <t>Cost of Goods - Software</t>
  </si>
  <si>
    <t>Cost of Goods - Services</t>
  </si>
  <si>
    <t>Beginning Receivables</t>
  </si>
  <si>
    <t>New receivables</t>
  </si>
  <si>
    <t>Collection net 90</t>
  </si>
  <si>
    <t>Ending receivables</t>
  </si>
  <si>
    <t>Collection net 30 (25% of new)</t>
  </si>
  <si>
    <t>Collection net 60 (60% of new )</t>
  </si>
  <si>
    <t>Actify Cost of Goods - Software</t>
  </si>
  <si>
    <t>Actify Europe LTD</t>
  </si>
</sst>
</file>

<file path=xl/styles.xml><?xml version="1.0" encoding="utf-8"?>
<styleSheet xmlns="http://schemas.openxmlformats.org/spreadsheetml/2006/main">
  <numFmts count="1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  <numFmt numFmtId="167" formatCode="&quot;$&quot;#,##0"/>
    <numFmt numFmtId="168" formatCode="_(* #,##0.000_);_(* \(#,##0.000\);_(* &quot;-&quot;??_);_(@_)"/>
    <numFmt numFmtId="169" formatCode="#,###"/>
    <numFmt numFmtId="170" formatCode="_([$€]* #,##0_);_([$€]* \(#,##0\);_([$€]* &quot;-&quot;??_);_(@_)"/>
    <numFmt numFmtId="171" formatCode="_([$€]* #,##0.00_);_([$€]* \(#,##0.00\);_([$€]* &quot;-&quot;??_);_(@_)"/>
    <numFmt numFmtId="172" formatCode="#,##0.0"/>
    <numFmt numFmtId="173" formatCode="#,##0.0_);[Red]\(#,##0.0\)"/>
    <numFmt numFmtId="174" formatCode="0_);[Red]\(0\)"/>
  </numFmts>
  <fonts count="43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</font>
    <font>
      <b/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9"/>
      <name val="Arial"/>
    </font>
    <font>
      <b/>
      <sz val="10"/>
      <color indexed="12"/>
      <name val="Arial"/>
      <family val="2"/>
    </font>
    <font>
      <sz val="10"/>
      <color indexed="12"/>
      <name val="Arial"/>
    </font>
    <font>
      <b/>
      <sz val="12"/>
      <color indexed="63"/>
      <name val="Arial"/>
      <family val="2"/>
    </font>
    <font>
      <b/>
      <sz val="11"/>
      <name val="Arial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Arial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8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</font>
    <font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8.0500000000000007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3">
    <xf numFmtId="0" fontId="0" fillId="0" borderId="0" xfId="0"/>
    <xf numFmtId="164" fontId="1" fillId="0" borderId="0" xfId="1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1" fillId="0" borderId="0" xfId="1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Protection="1">
      <protection locked="0"/>
    </xf>
    <xf numFmtId="164" fontId="4" fillId="0" borderId="0" xfId="0" applyNumberFormat="1" applyFont="1"/>
    <xf numFmtId="0" fontId="4" fillId="0" borderId="0" xfId="0" applyFont="1" applyFill="1"/>
    <xf numFmtId="0" fontId="4" fillId="0" borderId="0" xfId="0" applyFont="1" applyFill="1" applyProtection="1">
      <protection locked="0"/>
    </xf>
    <xf numFmtId="164" fontId="4" fillId="0" borderId="0" xfId="0" applyNumberFormat="1" applyFont="1" applyFill="1"/>
    <xf numFmtId="164" fontId="3" fillId="0" borderId="1" xfId="0" applyNumberFormat="1" applyFont="1" applyBorder="1"/>
    <xf numFmtId="0" fontId="3" fillId="0" borderId="0" xfId="0" applyFont="1" applyFill="1"/>
    <xf numFmtId="0" fontId="4" fillId="0" borderId="2" xfId="0" applyFont="1" applyBorder="1" applyProtection="1">
      <protection locked="0"/>
    </xf>
    <xf numFmtId="0" fontId="0" fillId="0" borderId="0" xfId="0" applyAlignment="1">
      <alignment horizontal="center"/>
    </xf>
    <xf numFmtId="164" fontId="1" fillId="0" borderId="3" xfId="1" applyNumberFormat="1" applyBorder="1" applyAlignment="1">
      <alignment horizontal="center"/>
    </xf>
    <xf numFmtId="38" fontId="3" fillId="0" borderId="0" xfId="1" applyNumberFormat="1" applyFont="1" applyAlignment="1">
      <alignment horizontal="right"/>
    </xf>
    <xf numFmtId="49" fontId="1" fillId="0" borderId="0" xfId="1" applyNumberFormat="1" applyFont="1" applyAlignment="1">
      <alignment horizontal="left"/>
    </xf>
    <xf numFmtId="49" fontId="1" fillId="0" borderId="0" xfId="1" applyNumberFormat="1" applyAlignment="1">
      <alignment horizontal="left"/>
    </xf>
    <xf numFmtId="49" fontId="3" fillId="0" borderId="0" xfId="1" applyNumberFormat="1" applyFont="1" applyAlignment="1">
      <alignment horizontal="left"/>
    </xf>
    <xf numFmtId="49" fontId="4" fillId="0" borderId="0" xfId="0" applyNumberFormat="1" applyFont="1" applyBorder="1"/>
    <xf numFmtId="49" fontId="4" fillId="0" borderId="0" xfId="0" applyNumberFormat="1" applyFont="1" applyFill="1" applyBorder="1"/>
    <xf numFmtId="49" fontId="3" fillId="0" borderId="2" xfId="1" applyNumberFormat="1" applyFont="1" applyBorder="1" applyAlignment="1">
      <alignment horizontal="left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3" fillId="0" borderId="2" xfId="0" applyFont="1" applyBorder="1" applyProtection="1">
      <protection locked="0"/>
    </xf>
    <xf numFmtId="164" fontId="4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38" fontId="3" fillId="0" borderId="0" xfId="1" applyNumberFormat="1" applyFont="1" applyBorder="1" applyAlignment="1">
      <alignment horizontal="right"/>
    </xf>
    <xf numFmtId="164" fontId="1" fillId="0" borderId="0" xfId="1" applyNumberFormat="1" applyFill="1" applyBorder="1" applyAlignment="1">
      <alignment horizontal="center"/>
    </xf>
    <xf numFmtId="164" fontId="4" fillId="0" borderId="0" xfId="0" applyNumberFormat="1" applyFont="1" applyBorder="1"/>
    <xf numFmtId="0" fontId="3" fillId="0" borderId="0" xfId="0" applyFont="1" applyBorder="1"/>
    <xf numFmtId="0" fontId="0" fillId="0" borderId="4" xfId="0" applyBorder="1"/>
    <xf numFmtId="164" fontId="1" fillId="0" borderId="4" xfId="1" applyNumberFormat="1" applyBorder="1" applyAlignment="1">
      <alignment horizontal="center"/>
    </xf>
    <xf numFmtId="3" fontId="0" fillId="0" borderId="0" xfId="0" applyNumberFormat="1"/>
    <xf numFmtId="38" fontId="3" fillId="0" borderId="5" xfId="1" applyNumberFormat="1" applyFont="1" applyBorder="1" applyAlignment="1">
      <alignment horizontal="right"/>
    </xf>
    <xf numFmtId="49" fontId="3" fillId="0" borderId="0" xfId="1" applyNumberFormat="1" applyFont="1" applyAlignment="1">
      <alignment horizontal="right"/>
    </xf>
    <xf numFmtId="49" fontId="3" fillId="0" borderId="5" xfId="1" applyNumberFormat="1" applyFont="1" applyBorder="1" applyAlignment="1">
      <alignment horizontal="right"/>
    </xf>
    <xf numFmtId="0" fontId="4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4" fontId="4" fillId="0" borderId="6" xfId="1" applyNumberFormat="1" applyFont="1" applyBorder="1" applyProtection="1">
      <protection locked="0"/>
    </xf>
    <xf numFmtId="164" fontId="4" fillId="0" borderId="6" xfId="1" applyNumberFormat="1" applyFont="1" applyFill="1" applyBorder="1" applyProtection="1">
      <protection locked="0"/>
    </xf>
    <xf numFmtId="164" fontId="4" fillId="0" borderId="6" xfId="1" applyNumberFormat="1" applyFont="1" applyBorder="1"/>
    <xf numFmtId="164" fontId="4" fillId="0" borderId="6" xfId="1" applyNumberFormat="1" applyFont="1" applyFill="1" applyBorder="1"/>
    <xf numFmtId="164" fontId="4" fillId="0" borderId="7" xfId="1" applyNumberFormat="1" applyFont="1" applyBorder="1" applyProtection="1">
      <protection locked="0"/>
    </xf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3" fillId="0" borderId="9" xfId="0" applyFont="1" applyBorder="1" applyAlignment="1">
      <alignment horizontal="right"/>
    </xf>
    <xf numFmtId="3" fontId="0" fillId="0" borderId="8" xfId="0" applyNumberFormat="1" applyBorder="1"/>
    <xf numFmtId="3" fontId="0" fillId="0" borderId="10" xfId="0" applyNumberFormat="1" applyBorder="1"/>
    <xf numFmtId="49" fontId="3" fillId="0" borderId="0" xfId="1" applyNumberFormat="1" applyFont="1" applyFill="1" applyAlignment="1">
      <alignment horizontal="left"/>
    </xf>
    <xf numFmtId="14" fontId="1" fillId="0" borderId="6" xfId="1" applyNumberFormat="1" applyFont="1" applyBorder="1" applyAlignment="1">
      <alignment horizontal="center"/>
    </xf>
    <xf numFmtId="49" fontId="1" fillId="0" borderId="5" xfId="1" applyNumberFormat="1" applyBorder="1" applyAlignment="1">
      <alignment horizontal="left"/>
    </xf>
    <xf numFmtId="164" fontId="1" fillId="0" borderId="11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9" fontId="8" fillId="0" borderId="3" xfId="1" applyNumberFormat="1" applyFont="1" applyBorder="1" applyAlignment="1">
      <alignment horizontal="left"/>
    </xf>
    <xf numFmtId="49" fontId="8" fillId="0" borderId="0" xfId="1" applyNumberFormat="1" applyFont="1" applyAlignment="1">
      <alignment horizontal="left"/>
    </xf>
    <xf numFmtId="0" fontId="3" fillId="0" borderId="8" xfId="0" applyFont="1" applyBorder="1"/>
    <xf numFmtId="0" fontId="8" fillId="0" borderId="0" xfId="0" applyFont="1"/>
    <xf numFmtId="3" fontId="0" fillId="0" borderId="0" xfId="0" applyNumberFormat="1" applyBorder="1"/>
    <xf numFmtId="49" fontId="3" fillId="0" borderId="12" xfId="1" applyNumberFormat="1" applyFont="1" applyBorder="1" applyAlignment="1">
      <alignment horizontal="left"/>
    </xf>
    <xf numFmtId="164" fontId="4" fillId="0" borderId="0" xfId="0" applyNumberFormat="1" applyFont="1" applyFill="1" applyBorder="1"/>
    <xf numFmtId="3" fontId="4" fillId="0" borderId="0" xfId="0" applyNumberFormat="1" applyFont="1" applyFill="1" applyBorder="1"/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6" fillId="0" borderId="6" xfId="0" applyFont="1" applyBorder="1" applyAlignment="1">
      <alignment horizontal="right"/>
    </xf>
    <xf numFmtId="0" fontId="0" fillId="0" borderId="5" xfId="0" applyBorder="1"/>
    <xf numFmtId="0" fontId="6" fillId="0" borderId="11" xfId="0" applyFont="1" applyBorder="1" applyAlignment="1">
      <alignment horizontal="right"/>
    </xf>
    <xf numFmtId="17" fontId="3" fillId="0" borderId="8" xfId="0" applyNumberFormat="1" applyFont="1" applyFill="1" applyBorder="1" applyAlignment="1">
      <alignment horizontal="center" wrapText="1"/>
    </xf>
    <xf numFmtId="17" fontId="3" fillId="0" borderId="13" xfId="0" applyNumberFormat="1" applyFont="1" applyFill="1" applyBorder="1" applyAlignment="1">
      <alignment horizontal="center" wrapText="1"/>
    </xf>
    <xf numFmtId="3" fontId="0" fillId="0" borderId="14" xfId="0" applyNumberFormat="1" applyBorder="1"/>
    <xf numFmtId="166" fontId="3" fillId="0" borderId="2" xfId="1" applyNumberFormat="1" applyFon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49" fontId="10" fillId="0" borderId="0" xfId="1" applyNumberFormat="1" applyFont="1" applyAlignment="1">
      <alignment horizontal="right"/>
    </xf>
    <xf numFmtId="49" fontId="10" fillId="0" borderId="0" xfId="1" applyNumberFormat="1" applyFont="1" applyAlignment="1">
      <alignment horizontal="left"/>
    </xf>
    <xf numFmtId="164" fontId="11" fillId="0" borderId="0" xfId="1" applyNumberFormat="1" applyFont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167" fontId="0" fillId="0" borderId="0" xfId="0" applyNumberFormat="1" applyBorder="1"/>
    <xf numFmtId="167" fontId="0" fillId="0" borderId="14" xfId="0" applyNumberFormat="1" applyBorder="1"/>
    <xf numFmtId="38" fontId="3" fillId="0" borderId="14" xfId="1" applyNumberFormat="1" applyFont="1" applyBorder="1" applyAlignment="1">
      <alignment horizontal="right"/>
    </xf>
    <xf numFmtId="38" fontId="3" fillId="0" borderId="16" xfId="1" applyNumberFormat="1" applyFont="1" applyBorder="1" applyAlignment="1">
      <alignment horizontal="right"/>
    </xf>
    <xf numFmtId="164" fontId="1" fillId="0" borderId="17" xfId="1" applyNumberForma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11" fillId="0" borderId="14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6" fontId="3" fillId="0" borderId="19" xfId="1" applyNumberFormat="1" applyFont="1" applyBorder="1" applyAlignment="1">
      <alignment horizontal="center"/>
    </xf>
    <xf numFmtId="164" fontId="1" fillId="0" borderId="14" xfId="1" applyNumberFormat="1" applyFill="1" applyBorder="1" applyAlignment="1">
      <alignment horizontal="center"/>
    </xf>
    <xf numFmtId="164" fontId="1" fillId="0" borderId="16" xfId="1" applyNumberForma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  <xf numFmtId="9" fontId="0" fillId="0" borderId="14" xfId="0" applyNumberFormat="1" applyBorder="1" applyAlignment="1">
      <alignment horizontal="right"/>
    </xf>
    <xf numFmtId="164" fontId="4" fillId="0" borderId="14" xfId="0" applyNumberFormat="1" applyFont="1" applyFill="1" applyBorder="1"/>
    <xf numFmtId="164" fontId="4" fillId="0" borderId="14" xfId="0" applyNumberFormat="1" applyFont="1" applyBorder="1"/>
    <xf numFmtId="164" fontId="4" fillId="0" borderId="19" xfId="0" applyNumberFormat="1" applyFont="1" applyBorder="1"/>
    <xf numFmtId="164" fontId="3" fillId="0" borderId="18" xfId="0" applyNumberFormat="1" applyFont="1" applyBorder="1"/>
    <xf numFmtId="3" fontId="4" fillId="0" borderId="14" xfId="0" applyNumberFormat="1" applyFont="1" applyFill="1" applyBorder="1"/>
    <xf numFmtId="3" fontId="0" fillId="0" borderId="13" xfId="0" applyNumberFormat="1" applyBorder="1"/>
    <xf numFmtId="3" fontId="0" fillId="0" borderId="20" xfId="0" applyNumberFormat="1" applyBorder="1"/>
    <xf numFmtId="9" fontId="0" fillId="0" borderId="15" xfId="0" applyNumberFormat="1" applyBorder="1" applyAlignment="1">
      <alignment horizontal="right"/>
    </xf>
    <xf numFmtId="164" fontId="4" fillId="0" borderId="15" xfId="0" applyNumberFormat="1" applyFont="1" applyFill="1" applyBorder="1"/>
    <xf numFmtId="164" fontId="4" fillId="0" borderId="15" xfId="0" applyNumberFormat="1" applyFont="1" applyBorder="1"/>
    <xf numFmtId="164" fontId="4" fillId="0" borderId="21" xfId="0" applyNumberFormat="1" applyFont="1" applyBorder="1"/>
    <xf numFmtId="164" fontId="3" fillId="0" borderId="22" xfId="0" applyNumberFormat="1" applyFont="1" applyBorder="1"/>
    <xf numFmtId="49" fontId="5" fillId="0" borderId="15" xfId="1" applyNumberFormat="1" applyFont="1" applyFill="1" applyBorder="1" applyAlignment="1">
      <alignment horizontal="right"/>
    </xf>
    <xf numFmtId="0" fontId="6" fillId="0" borderId="23" xfId="0" applyFont="1" applyBorder="1" applyAlignment="1">
      <alignment horizontal="right"/>
    </xf>
    <xf numFmtId="38" fontId="10" fillId="0" borderId="0" xfId="1" applyNumberFormat="1" applyFont="1" applyBorder="1" applyAlignment="1">
      <alignment horizontal="right"/>
    </xf>
    <xf numFmtId="38" fontId="10" fillId="0" borderId="14" xfId="1" applyNumberFormat="1" applyFont="1" applyBorder="1" applyAlignment="1">
      <alignment horizontal="right"/>
    </xf>
    <xf numFmtId="38" fontId="10" fillId="0" borderId="0" xfId="1" applyNumberFormat="1" applyFont="1" applyAlignment="1">
      <alignment horizontal="right"/>
    </xf>
    <xf numFmtId="49" fontId="4" fillId="0" borderId="0" xfId="1" applyNumberFormat="1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49" fontId="3" fillId="0" borderId="8" xfId="1" applyNumberFormat="1" applyFont="1" applyBorder="1" applyAlignment="1">
      <alignment horizontal="left"/>
    </xf>
    <xf numFmtId="167" fontId="0" fillId="0" borderId="6" xfId="0" applyNumberFormat="1" applyBorder="1"/>
    <xf numFmtId="164" fontId="4" fillId="0" borderId="0" xfId="1" applyNumberFormat="1" applyFont="1" applyBorder="1" applyAlignment="1">
      <alignment horizontal="center"/>
    </xf>
    <xf numFmtId="164" fontId="4" fillId="0" borderId="14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7" fontId="3" fillId="0" borderId="2" xfId="0" applyNumberFormat="1" applyFont="1" applyFill="1" applyBorder="1" applyAlignment="1">
      <alignment horizontal="center" wrapText="1"/>
    </xf>
    <xf numFmtId="17" fontId="3" fillId="0" borderId="19" xfId="0" applyNumberFormat="1" applyFont="1" applyFill="1" applyBorder="1" applyAlignment="1">
      <alignment horizontal="center" wrapText="1"/>
    </xf>
    <xf numFmtId="17" fontId="3" fillId="0" borderId="21" xfId="0" applyNumberFormat="1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0" xfId="0" applyNumberFormat="1"/>
    <xf numFmtId="169" fontId="0" fillId="0" borderId="0" xfId="0" applyNumberFormat="1" applyBorder="1"/>
    <xf numFmtId="169" fontId="0" fillId="0" borderId="14" xfId="0" applyNumberFormat="1" applyBorder="1"/>
    <xf numFmtId="164" fontId="3" fillId="0" borderId="14" xfId="1" applyNumberFormat="1" applyFont="1" applyBorder="1" applyAlignment="1">
      <alignment horizontal="center"/>
    </xf>
    <xf numFmtId="164" fontId="10" fillId="0" borderId="14" xfId="1" applyNumberFormat="1" applyFont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167" fontId="3" fillId="0" borderId="14" xfId="1" applyNumberFormat="1" applyFont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167" fontId="1" fillId="0" borderId="14" xfId="1" applyNumberFormat="1" applyFont="1" applyBorder="1" applyAlignment="1">
      <alignment horizontal="center"/>
    </xf>
    <xf numFmtId="167" fontId="0" fillId="0" borderId="26" xfId="0" applyNumberFormat="1" applyBorder="1"/>
    <xf numFmtId="17" fontId="3" fillId="0" borderId="27" xfId="0" applyNumberFormat="1" applyFont="1" applyFill="1" applyBorder="1" applyAlignment="1">
      <alignment horizontal="center" wrapText="1"/>
    </xf>
    <xf numFmtId="3" fontId="0" fillId="0" borderId="28" xfId="0" applyNumberFormat="1" applyBorder="1"/>
    <xf numFmtId="167" fontId="0" fillId="0" borderId="28" xfId="0" applyNumberFormat="1" applyBorder="1"/>
    <xf numFmtId="0" fontId="1" fillId="0" borderId="0" xfId="0" applyFont="1"/>
    <xf numFmtId="3" fontId="1" fillId="0" borderId="28" xfId="0" applyNumberFormat="1" applyFont="1" applyBorder="1"/>
    <xf numFmtId="3" fontId="1" fillId="0" borderId="0" xfId="0" applyNumberFormat="1" applyFont="1" applyBorder="1"/>
    <xf numFmtId="3" fontId="1" fillId="0" borderId="14" xfId="0" applyNumberFormat="1" applyFont="1" applyBorder="1"/>
    <xf numFmtId="169" fontId="1" fillId="0" borderId="0" xfId="0" applyNumberFormat="1" applyFont="1" applyBorder="1"/>
    <xf numFmtId="169" fontId="1" fillId="0" borderId="14" xfId="0" applyNumberFormat="1" applyFont="1" applyBorder="1"/>
    <xf numFmtId="0" fontId="1" fillId="0" borderId="0" xfId="0" applyFont="1" applyBorder="1"/>
    <xf numFmtId="9" fontId="1" fillId="0" borderId="14" xfId="1" applyNumberFormat="1" applyBorder="1" applyAlignment="1">
      <alignment horizontal="center"/>
    </xf>
    <xf numFmtId="0" fontId="0" fillId="0" borderId="3" xfId="0" applyBorder="1"/>
    <xf numFmtId="17" fontId="13" fillId="2" borderId="19" xfId="0" applyNumberFormat="1" applyFont="1" applyFill="1" applyBorder="1" applyAlignment="1">
      <alignment horizontal="center" wrapText="1"/>
    </xf>
    <xf numFmtId="9" fontId="0" fillId="0" borderId="29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49" fontId="6" fillId="0" borderId="0" xfId="1" applyNumberFormat="1" applyFont="1" applyFill="1" applyAlignment="1">
      <alignment horizontal="left"/>
    </xf>
    <xf numFmtId="49" fontId="1" fillId="0" borderId="0" xfId="1" applyNumberFormat="1" applyFill="1" applyAlignment="1">
      <alignment horizontal="left"/>
    </xf>
    <xf numFmtId="0" fontId="1" fillId="0" borderId="0" xfId="0" applyFont="1" applyFill="1" applyBorder="1"/>
    <xf numFmtId="167" fontId="1" fillId="0" borderId="0" xfId="1" applyNumberFormat="1" applyAlignment="1">
      <alignment horizontal="center"/>
    </xf>
    <xf numFmtId="0" fontId="0" fillId="0" borderId="30" xfId="0" applyBorder="1"/>
    <xf numFmtId="17" fontId="3" fillId="0" borderId="31" xfId="0" applyNumberFormat="1" applyFont="1" applyFill="1" applyBorder="1" applyAlignment="1">
      <alignment horizontal="center" wrapText="1"/>
    </xf>
    <xf numFmtId="3" fontId="0" fillId="0" borderId="30" xfId="0" applyNumberFormat="1" applyBorder="1"/>
    <xf numFmtId="3" fontId="0" fillId="0" borderId="32" xfId="0" applyNumberFormat="1" applyBorder="1"/>
    <xf numFmtId="0" fontId="0" fillId="3" borderId="0" xfId="0" applyFill="1"/>
    <xf numFmtId="0" fontId="0" fillId="3" borderId="0" xfId="0" applyFill="1" applyBorder="1"/>
    <xf numFmtId="0" fontId="3" fillId="0" borderId="0" xfId="0" applyFont="1" applyAlignment="1">
      <alignment horizontal="right"/>
    </xf>
    <xf numFmtId="3" fontId="0" fillId="0" borderId="27" xfId="0" applyNumberFormat="1" applyBorder="1"/>
    <xf numFmtId="0" fontId="3" fillId="0" borderId="33" xfId="0" applyFont="1" applyBorder="1" applyAlignment="1">
      <alignment horizontal="right" wrapText="1"/>
    </xf>
    <xf numFmtId="3" fontId="0" fillId="0" borderId="33" xfId="0" applyNumberFormat="1" applyBorder="1"/>
    <xf numFmtId="167" fontId="0" fillId="0" borderId="5" xfId="0" applyNumberFormat="1" applyBorder="1"/>
    <xf numFmtId="0" fontId="3" fillId="0" borderId="5" xfId="0" applyFont="1" applyBorder="1" applyAlignment="1">
      <alignment horizontal="right"/>
    </xf>
    <xf numFmtId="164" fontId="4" fillId="0" borderId="0" xfId="1" applyNumberFormat="1" applyFont="1" applyAlignment="1">
      <alignment horizontal="left"/>
    </xf>
    <xf numFmtId="164" fontId="4" fillId="2" borderId="14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right" wrapText="1"/>
    </xf>
    <xf numFmtId="0" fontId="0" fillId="0" borderId="6" xfId="0" applyBorder="1"/>
    <xf numFmtId="0" fontId="3" fillId="0" borderId="34" xfId="0" applyFont="1" applyBorder="1" applyAlignment="1">
      <alignment horizontal="right" wrapText="1"/>
    </xf>
    <xf numFmtId="3" fontId="0" fillId="0" borderId="6" xfId="0" applyNumberFormat="1" applyBorder="1"/>
    <xf numFmtId="3" fontId="1" fillId="0" borderId="6" xfId="0" applyNumberFormat="1" applyFont="1" applyBorder="1"/>
    <xf numFmtId="3" fontId="0" fillId="0" borderId="34" xfId="0" applyNumberFormat="1" applyBorder="1"/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3" fontId="0" fillId="0" borderId="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5" fontId="3" fillId="0" borderId="9" xfId="0" applyNumberFormat="1" applyFont="1" applyBorder="1" applyAlignment="1">
      <alignment horizontal="right"/>
    </xf>
    <xf numFmtId="3" fontId="1" fillId="0" borderId="6" xfId="0" applyNumberFormat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30" xfId="0" applyNumberFormat="1" applyFont="1" applyBorder="1"/>
    <xf numFmtId="165" fontId="0" fillId="0" borderId="0" xfId="0" applyNumberFormat="1" applyAlignment="1">
      <alignment horizontal="center"/>
    </xf>
    <xf numFmtId="0" fontId="3" fillId="3" borderId="35" xfId="0" applyFont="1" applyFill="1" applyBorder="1" applyAlignment="1">
      <alignment horizontal="right" wrapText="1"/>
    </xf>
    <xf numFmtId="3" fontId="4" fillId="0" borderId="0" xfId="0" applyNumberFormat="1" applyFont="1" applyAlignment="1">
      <alignment horizontal="center"/>
    </xf>
    <xf numFmtId="0" fontId="0" fillId="0" borderId="8" xfId="0" applyBorder="1" applyAlignment="1">
      <alignment horizontal="right"/>
    </xf>
    <xf numFmtId="38" fontId="0" fillId="0" borderId="0" xfId="0" applyNumberFormat="1"/>
    <xf numFmtId="17" fontId="3" fillId="0" borderId="35" xfId="0" applyNumberFormat="1" applyFont="1" applyFill="1" applyBorder="1" applyAlignment="1">
      <alignment horizontal="center" wrapText="1"/>
    </xf>
    <xf numFmtId="3" fontId="0" fillId="0" borderId="29" xfId="0" applyNumberFormat="1" applyBorder="1"/>
    <xf numFmtId="3" fontId="0" fillId="0" borderId="36" xfId="0" applyNumberFormat="1" applyBorder="1"/>
    <xf numFmtId="0" fontId="0" fillId="0" borderId="29" xfId="0" applyBorder="1"/>
    <xf numFmtId="38" fontId="0" fillId="0" borderId="29" xfId="0" applyNumberFormat="1" applyBorder="1"/>
    <xf numFmtId="38" fontId="0" fillId="0" borderId="14" xfId="0" applyNumberFormat="1" applyBorder="1"/>
    <xf numFmtId="17" fontId="4" fillId="0" borderId="13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8" fontId="0" fillId="0" borderId="5" xfId="0" applyNumberFormat="1" applyBorder="1"/>
    <xf numFmtId="0" fontId="14" fillId="0" borderId="0" xfId="0" applyFont="1"/>
    <xf numFmtId="0" fontId="3" fillId="0" borderId="37" xfId="0" applyFont="1" applyBorder="1" applyAlignment="1">
      <alignment horizontal="center"/>
    </xf>
    <xf numFmtId="38" fontId="0" fillId="0" borderId="4" xfId="0" applyNumberFormat="1" applyBorder="1"/>
    <xf numFmtId="38" fontId="0" fillId="0" borderId="38" xfId="0" applyNumberFormat="1" applyBorder="1"/>
    <xf numFmtId="38" fontId="0" fillId="0" borderId="0" xfId="0" applyNumberFormat="1" applyBorder="1"/>
    <xf numFmtId="38" fontId="0" fillId="0" borderId="39" xfId="0" applyNumberFormat="1" applyBorder="1"/>
    <xf numFmtId="38" fontId="0" fillId="0" borderId="3" xfId="0" applyNumberFormat="1" applyBorder="1"/>
    <xf numFmtId="38" fontId="0" fillId="0" borderId="40" xfId="0" applyNumberFormat="1" applyBorder="1"/>
    <xf numFmtId="3" fontId="0" fillId="0" borderId="29" xfId="0" applyNumberFormat="1" applyFill="1" applyBorder="1"/>
    <xf numFmtId="3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/>
    <xf numFmtId="0" fontId="3" fillId="0" borderId="42" xfId="0" applyFont="1" applyBorder="1"/>
    <xf numFmtId="9" fontId="9" fillId="0" borderId="0" xfId="3" applyFont="1"/>
    <xf numFmtId="173" fontId="9" fillId="0" borderId="43" xfId="2" applyNumberFormat="1" applyFont="1" applyFill="1" applyBorder="1" applyAlignment="1">
      <alignment horizontal="right"/>
    </xf>
    <xf numFmtId="173" fontId="9" fillId="0" borderId="4" xfId="2" applyNumberFormat="1" applyFont="1" applyFill="1" applyBorder="1" applyAlignment="1">
      <alignment horizontal="right"/>
    </xf>
    <xf numFmtId="173" fontId="9" fillId="0" borderId="0" xfId="0" applyNumberFormat="1" applyFont="1" applyFill="1" applyAlignment="1">
      <alignment horizontal="right"/>
    </xf>
    <xf numFmtId="170" fontId="1" fillId="0" borderId="4" xfId="2" applyNumberFormat="1" applyFont="1" applyFill="1" applyBorder="1"/>
    <xf numFmtId="9" fontId="1" fillId="0" borderId="4" xfId="2" applyNumberFormat="1" applyFont="1" applyFill="1" applyBorder="1" applyAlignment="1">
      <alignment horizontal="center"/>
    </xf>
    <xf numFmtId="173" fontId="15" fillId="0" borderId="2" xfId="3" applyNumberFormat="1" applyFont="1" applyFill="1" applyBorder="1" applyAlignment="1">
      <alignment horizontal="right"/>
    </xf>
    <xf numFmtId="173" fontId="9" fillId="0" borderId="0" xfId="0" applyNumberFormat="1" applyFont="1" applyFill="1" applyBorder="1" applyAlignment="1">
      <alignment horizontal="right"/>
    </xf>
    <xf numFmtId="173" fontId="3" fillId="0" borderId="0" xfId="3" applyNumberFormat="1" applyFont="1" applyFill="1" applyBorder="1" applyAlignment="1">
      <alignment horizontal="right"/>
    </xf>
    <xf numFmtId="0" fontId="3" fillId="0" borderId="44" xfId="0" applyFont="1" applyBorder="1" applyAlignment="1">
      <alignment horizontal="center"/>
    </xf>
    <xf numFmtId="9" fontId="3" fillId="0" borderId="4" xfId="3" applyFont="1" applyBorder="1"/>
    <xf numFmtId="9" fontId="1" fillId="0" borderId="4" xfId="3" applyFont="1" applyBorder="1"/>
    <xf numFmtId="173" fontId="15" fillId="0" borderId="0" xfId="3" applyNumberFormat="1" applyFont="1" applyFill="1" applyBorder="1" applyAlignment="1">
      <alignment horizontal="right"/>
    </xf>
    <xf numFmtId="173" fontId="15" fillId="0" borderId="45" xfId="3" applyNumberFormat="1" applyFont="1" applyFill="1" applyBorder="1" applyAlignment="1">
      <alignment horizontal="right"/>
    </xf>
    <xf numFmtId="173" fontId="9" fillId="0" borderId="46" xfId="2" applyNumberFormat="1" applyFont="1" applyFill="1" applyBorder="1" applyAlignment="1">
      <alignment horizontal="right"/>
    </xf>
    <xf numFmtId="173" fontId="9" fillId="0" borderId="38" xfId="2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3" fontId="0" fillId="0" borderId="7" xfId="0" applyNumberFormat="1" applyBorder="1"/>
    <xf numFmtId="9" fontId="9" fillId="2" borderId="4" xfId="3" applyFont="1" applyFill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43" xfId="0" applyFont="1" applyBorder="1"/>
    <xf numFmtId="0" fontId="9" fillId="0" borderId="0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173" fontId="16" fillId="0" borderId="45" xfId="2" applyNumberFormat="1" applyFont="1" applyFill="1" applyBorder="1" applyAlignment="1">
      <alignment horizontal="right"/>
    </xf>
    <xf numFmtId="173" fontId="16" fillId="0" borderId="42" xfId="2" applyNumberFormat="1" applyFont="1" applyFill="1" applyBorder="1" applyAlignment="1">
      <alignment horizontal="right"/>
    </xf>
    <xf numFmtId="173" fontId="16" fillId="0" borderId="0" xfId="0" applyNumberFormat="1" applyFont="1" applyFill="1" applyAlignment="1">
      <alignment horizontal="right"/>
    </xf>
    <xf numFmtId="173" fontId="16" fillId="0" borderId="49" xfId="2" applyNumberFormat="1" applyFont="1" applyFill="1" applyBorder="1" applyAlignment="1">
      <alignment horizontal="right"/>
    </xf>
    <xf numFmtId="173" fontId="16" fillId="0" borderId="50" xfId="2" applyNumberFormat="1" applyFont="1" applyFill="1" applyBorder="1" applyAlignment="1">
      <alignment horizontal="right"/>
    </xf>
    <xf numFmtId="172" fontId="16" fillId="0" borderId="0" xfId="2" applyNumberFormat="1" applyFont="1" applyFill="1" applyBorder="1" applyAlignment="1">
      <alignment horizontal="right"/>
    </xf>
    <xf numFmtId="172" fontId="16" fillId="0" borderId="0" xfId="0" applyNumberFormat="1" applyFont="1" applyFill="1" applyBorder="1" applyAlignment="1">
      <alignment horizontal="right"/>
    </xf>
    <xf numFmtId="172" fontId="1" fillId="0" borderId="0" xfId="1" applyNumberFormat="1" applyFont="1" applyFill="1" applyBorder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170" fontId="3" fillId="0" borderId="2" xfId="2" applyNumberFormat="1" applyFont="1" applyFill="1" applyBorder="1" applyAlignment="1">
      <alignment horizontal="right"/>
    </xf>
    <xf numFmtId="9" fontId="3" fillId="0" borderId="0" xfId="3" applyFont="1" applyBorder="1" applyAlignment="1">
      <alignment horizontal="right"/>
    </xf>
    <xf numFmtId="173" fontId="15" fillId="0" borderId="42" xfId="3" applyNumberFormat="1" applyFont="1" applyFill="1" applyBorder="1" applyAlignment="1">
      <alignment horizontal="right"/>
    </xf>
    <xf numFmtId="173" fontId="15" fillId="0" borderId="7" xfId="3" applyNumberFormat="1" applyFont="1" applyFill="1" applyBorder="1" applyAlignment="1">
      <alignment horizontal="right"/>
    </xf>
    <xf numFmtId="173" fontId="3" fillId="0" borderId="6" xfId="3" applyNumberFormat="1" applyFont="1" applyFill="1" applyBorder="1" applyAlignment="1">
      <alignment horizontal="right"/>
    </xf>
    <xf numFmtId="173" fontId="17" fillId="0" borderId="4" xfId="3" applyNumberFormat="1" applyFont="1" applyFill="1" applyBorder="1" applyAlignment="1">
      <alignment horizontal="right"/>
    </xf>
    <xf numFmtId="173" fontId="17" fillId="0" borderId="0" xfId="3" applyNumberFormat="1" applyFont="1" applyFill="1" applyBorder="1" applyAlignment="1">
      <alignment horizontal="right"/>
    </xf>
    <xf numFmtId="173" fontId="17" fillId="0" borderId="6" xfId="3" applyNumberFormat="1" applyFont="1" applyFill="1" applyBorder="1" applyAlignment="1">
      <alignment horizontal="right"/>
    </xf>
    <xf numFmtId="173" fontId="17" fillId="0" borderId="43" xfId="3" applyNumberFormat="1" applyFont="1" applyFill="1" applyBorder="1" applyAlignment="1">
      <alignment horizontal="right"/>
    </xf>
    <xf numFmtId="173" fontId="4" fillId="0" borderId="6" xfId="3" applyNumberFormat="1" applyFont="1" applyFill="1" applyBorder="1" applyAlignment="1">
      <alignment horizontal="right"/>
    </xf>
    <xf numFmtId="173" fontId="17" fillId="0" borderId="0" xfId="3" applyNumberFormat="1" applyFont="1" applyFill="1" applyAlignment="1">
      <alignment horizontal="right"/>
    </xf>
    <xf numFmtId="173" fontId="17" fillId="0" borderId="38" xfId="3" applyNumberFormat="1" applyFont="1" applyFill="1" applyBorder="1" applyAlignment="1">
      <alignment horizontal="right"/>
    </xf>
    <xf numFmtId="173" fontId="17" fillId="0" borderId="5" xfId="3" applyNumberFormat="1" applyFont="1" applyFill="1" applyBorder="1" applyAlignment="1">
      <alignment horizontal="right"/>
    </xf>
    <xf numFmtId="173" fontId="17" fillId="0" borderId="11" xfId="3" applyNumberFormat="1" applyFont="1" applyFill="1" applyBorder="1" applyAlignment="1">
      <alignment horizontal="right"/>
    </xf>
    <xf numFmtId="9" fontId="3" fillId="0" borderId="2" xfId="3" applyFont="1" applyBorder="1" applyAlignment="1">
      <alignment horizontal="right"/>
    </xf>
    <xf numFmtId="173" fontId="3" fillId="0" borderId="43" xfId="3" applyNumberFormat="1" applyFont="1" applyFill="1" applyBorder="1" applyAlignment="1">
      <alignment horizontal="right"/>
    </xf>
    <xf numFmtId="173" fontId="9" fillId="0" borderId="0" xfId="3" applyNumberFormat="1" applyFont="1" applyFill="1" applyBorder="1" applyAlignment="1">
      <alignment horizontal="right"/>
    </xf>
    <xf numFmtId="9" fontId="1" fillId="0" borderId="2" xfId="3" applyFont="1" applyBorder="1"/>
    <xf numFmtId="173" fontId="9" fillId="0" borderId="2" xfId="3" applyNumberFormat="1" applyFont="1" applyFill="1" applyBorder="1" applyAlignment="1">
      <alignment horizontal="right"/>
    </xf>
    <xf numFmtId="0" fontId="0" fillId="0" borderId="43" xfId="0" applyBorder="1" applyAlignment="1">
      <alignment horizontal="center"/>
    </xf>
    <xf numFmtId="173" fontId="17" fillId="0" borderId="0" xfId="2" applyNumberFormat="1" applyFont="1" applyFill="1" applyBorder="1" applyAlignment="1">
      <alignment horizontal="right"/>
    </xf>
    <xf numFmtId="173" fontId="17" fillId="0" borderId="43" xfId="2" applyNumberFormat="1" applyFont="1" applyFill="1" applyBorder="1" applyAlignment="1">
      <alignment horizontal="right"/>
    </xf>
    <xf numFmtId="173" fontId="17" fillId="0" borderId="46" xfId="3" applyNumberFormat="1" applyFont="1" applyFill="1" applyBorder="1" applyAlignment="1">
      <alignment horizontal="right"/>
    </xf>
    <xf numFmtId="0" fontId="0" fillId="0" borderId="42" xfId="0" applyBorder="1"/>
    <xf numFmtId="173" fontId="15" fillId="0" borderId="42" xfId="0" applyNumberFormat="1" applyFont="1" applyFill="1" applyBorder="1" applyAlignment="1">
      <alignment horizontal="right"/>
    </xf>
    <xf numFmtId="173" fontId="15" fillId="0" borderId="2" xfId="0" applyNumberFormat="1" applyFont="1" applyFill="1" applyBorder="1" applyAlignment="1">
      <alignment horizontal="right"/>
    </xf>
    <xf numFmtId="173" fontId="15" fillId="0" borderId="45" xfId="0" applyNumberFormat="1" applyFont="1" applyFill="1" applyBorder="1" applyAlignment="1">
      <alignment horizontal="right"/>
    </xf>
    <xf numFmtId="173" fontId="3" fillId="0" borderId="43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3" fillId="0" borderId="4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9" fontId="9" fillId="2" borderId="4" xfId="0" applyNumberFormat="1" applyFont="1" applyFill="1" applyBorder="1" applyAlignment="1">
      <alignment horizontal="center"/>
    </xf>
    <xf numFmtId="9" fontId="4" fillId="0" borderId="0" xfId="3" applyFont="1" applyAlignment="1">
      <alignment horizontal="right"/>
    </xf>
    <xf numFmtId="168" fontId="1" fillId="0" borderId="0" xfId="1" applyNumberFormat="1" applyAlignment="1">
      <alignment horizontal="center"/>
    </xf>
    <xf numFmtId="9" fontId="0" fillId="0" borderId="0" xfId="0" applyNumberFormat="1"/>
    <xf numFmtId="172" fontId="0" fillId="0" borderId="0" xfId="0" applyNumberFormat="1"/>
    <xf numFmtId="9" fontId="3" fillId="0" borderId="0" xfId="3" applyFont="1" applyAlignment="1">
      <alignment horizontal="center"/>
    </xf>
    <xf numFmtId="38" fontId="0" fillId="0" borderId="44" xfId="0" applyNumberFormat="1" applyBorder="1"/>
    <xf numFmtId="173" fontId="0" fillId="0" borderId="0" xfId="0" applyNumberFormat="1"/>
    <xf numFmtId="38" fontId="0" fillId="0" borderId="41" xfId="0" applyNumberFormat="1" applyBorder="1"/>
    <xf numFmtId="38" fontId="0" fillId="0" borderId="51" xfId="0" applyNumberFormat="1" applyBorder="1"/>
    <xf numFmtId="38" fontId="0" fillId="0" borderId="48" xfId="0" applyNumberFormat="1" applyBorder="1"/>
    <xf numFmtId="0" fontId="0" fillId="0" borderId="51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" fontId="13" fillId="2" borderId="14" xfId="0" applyNumberFormat="1" applyFont="1" applyFill="1" applyBorder="1" applyAlignment="1">
      <alignment horizontal="center" wrapText="1"/>
    </xf>
    <xf numFmtId="17" fontId="3" fillId="0" borderId="0" xfId="0" applyNumberFormat="1" applyFont="1" applyFill="1" applyBorder="1" applyAlignment="1">
      <alignment horizontal="center" wrapText="1"/>
    </xf>
    <xf numFmtId="17" fontId="3" fillId="0" borderId="14" xfId="0" applyNumberFormat="1" applyFont="1" applyFill="1" applyBorder="1" applyAlignment="1">
      <alignment horizontal="center" wrapText="1"/>
    </xf>
    <xf numFmtId="17" fontId="3" fillId="0" borderId="15" xfId="0" applyNumberFormat="1" applyFont="1" applyFill="1" applyBorder="1" applyAlignment="1">
      <alignment horizontal="center" wrapText="1"/>
    </xf>
    <xf numFmtId="0" fontId="4" fillId="0" borderId="0" xfId="0" applyFont="1" applyBorder="1"/>
    <xf numFmtId="164" fontId="4" fillId="0" borderId="0" xfId="1" applyNumberFormat="1" applyFont="1" applyBorder="1" applyProtection="1">
      <protection locked="0"/>
    </xf>
    <xf numFmtId="164" fontId="4" fillId="2" borderId="0" xfId="0" applyNumberFormat="1" applyFont="1" applyFill="1" applyBorder="1" applyAlignment="1">
      <alignment horizontal="center"/>
    </xf>
    <xf numFmtId="0" fontId="18" fillId="0" borderId="0" xfId="0" applyFont="1" applyBorder="1" applyProtection="1">
      <protection locked="0"/>
    </xf>
    <xf numFmtId="0" fontId="18" fillId="0" borderId="0" xfId="0" applyFont="1"/>
    <xf numFmtId="164" fontId="18" fillId="2" borderId="0" xfId="0" applyNumberFormat="1" applyFont="1" applyFill="1" applyBorder="1" applyAlignment="1">
      <alignment horizontal="center"/>
    </xf>
    <xf numFmtId="164" fontId="18" fillId="0" borderId="0" xfId="0" applyNumberFormat="1" applyFont="1" applyBorder="1"/>
    <xf numFmtId="164" fontId="18" fillId="0" borderId="14" xfId="0" applyNumberFormat="1" applyFont="1" applyBorder="1"/>
    <xf numFmtId="164" fontId="18" fillId="0" borderId="15" xfId="0" applyNumberFormat="1" applyFont="1" applyBorder="1"/>
    <xf numFmtId="0" fontId="18" fillId="0" borderId="28" xfId="0" applyFont="1" applyBorder="1" applyAlignment="1">
      <alignment horizontal="center"/>
    </xf>
    <xf numFmtId="3" fontId="18" fillId="0" borderId="6" xfId="0" applyNumberFormat="1" applyFont="1" applyBorder="1"/>
    <xf numFmtId="164" fontId="3" fillId="0" borderId="8" xfId="1" applyNumberFormat="1" applyFont="1" applyBorder="1" applyAlignment="1">
      <alignment horizontal="center" wrapText="1"/>
    </xf>
    <xf numFmtId="164" fontId="3" fillId="0" borderId="37" xfId="1" applyNumberFormat="1" applyFont="1" applyBorder="1" applyAlignment="1">
      <alignment horizontal="center" wrapText="1"/>
    </xf>
    <xf numFmtId="3" fontId="1" fillId="0" borderId="0" xfId="1" applyNumberFormat="1" applyAlignment="1">
      <alignment horizontal="center"/>
    </xf>
    <xf numFmtId="3" fontId="1" fillId="0" borderId="38" xfId="1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1" fillId="0" borderId="6" xfId="1" applyNumberFormat="1" applyBorder="1" applyAlignment="1">
      <alignment horizontal="center"/>
    </xf>
    <xf numFmtId="3" fontId="1" fillId="0" borderId="11" xfId="1" applyNumberFormat="1" applyBorder="1" applyAlignment="1">
      <alignment horizontal="center"/>
    </xf>
    <xf numFmtId="164" fontId="3" fillId="0" borderId="34" xfId="1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  <xf numFmtId="3" fontId="0" fillId="0" borderId="19" xfId="0" applyNumberFormat="1" applyBorder="1"/>
    <xf numFmtId="0" fontId="11" fillId="0" borderId="0" xfId="0" applyFont="1" applyAlignment="1">
      <alignment horizontal="right"/>
    </xf>
    <xf numFmtId="9" fontId="11" fillId="0" borderId="0" xfId="0" applyNumberFormat="1" applyFont="1" applyAlignment="1">
      <alignment horizontal="left"/>
    </xf>
    <xf numFmtId="0" fontId="11" fillId="0" borderId="0" xfId="0" applyFont="1"/>
    <xf numFmtId="3" fontId="11" fillId="0" borderId="0" xfId="0" applyNumberFormat="1" applyFont="1"/>
    <xf numFmtId="165" fontId="11" fillId="0" borderId="0" xfId="3" applyNumberFormat="1" applyFont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0" fontId="19" fillId="0" borderId="0" xfId="0" applyFont="1"/>
    <xf numFmtId="0" fontId="4" fillId="0" borderId="0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3" fontId="0" fillId="0" borderId="0" xfId="0" applyNumberFormat="1" applyFill="1" applyBorder="1"/>
    <xf numFmtId="3" fontId="0" fillId="0" borderId="14" xfId="0" applyNumberFormat="1" applyFill="1" applyBorder="1"/>
    <xf numFmtId="49" fontId="5" fillId="0" borderId="52" xfId="1" applyNumberFormat="1" applyFont="1" applyFill="1" applyBorder="1" applyAlignment="1">
      <alignment horizontal="right"/>
    </xf>
    <xf numFmtId="0" fontId="3" fillId="4" borderId="0" xfId="0" applyFont="1" applyFill="1" applyBorder="1" applyProtection="1">
      <protection locked="0"/>
    </xf>
    <xf numFmtId="0" fontId="3" fillId="4" borderId="2" xfId="0" applyFont="1" applyFill="1" applyBorder="1" applyProtection="1">
      <protection locked="0"/>
    </xf>
    <xf numFmtId="164" fontId="4" fillId="0" borderId="45" xfId="1" applyNumberFormat="1" applyFont="1" applyFill="1" applyBorder="1" applyProtection="1">
      <protection locked="0"/>
    </xf>
    <xf numFmtId="164" fontId="4" fillId="0" borderId="2" xfId="1" applyNumberFormat="1" applyFont="1" applyFill="1" applyBorder="1" applyProtection="1">
      <protection locked="0"/>
    </xf>
    <xf numFmtId="164" fontId="18" fillId="0" borderId="0" xfId="1" applyNumberFormat="1" applyFont="1" applyFill="1" applyBorder="1" applyProtection="1">
      <protection locked="0"/>
    </xf>
    <xf numFmtId="164" fontId="4" fillId="0" borderId="0" xfId="1" applyNumberFormat="1" applyFont="1" applyFill="1" applyBorder="1" applyProtection="1">
      <protection locked="0"/>
    </xf>
    <xf numFmtId="164" fontId="1" fillId="0" borderId="0" xfId="1" applyNumberFormat="1" applyAlignment="1">
      <alignment horizontal="left"/>
    </xf>
    <xf numFmtId="164" fontId="1" fillId="0" borderId="5" xfId="1" applyNumberFormat="1" applyBorder="1" applyAlignment="1">
      <alignment horizontal="left"/>
    </xf>
    <xf numFmtId="0" fontId="0" fillId="0" borderId="0" xfId="0" applyFont="1" applyFill="1" applyBorder="1"/>
    <xf numFmtId="0" fontId="0" fillId="4" borderId="4" xfId="0" applyFill="1" applyBorder="1"/>
    <xf numFmtId="167" fontId="0" fillId="4" borderId="0" xfId="0" applyNumberFormat="1" applyFill="1" applyBorder="1"/>
    <xf numFmtId="0" fontId="0" fillId="4" borderId="6" xfId="0" applyFill="1" applyBorder="1"/>
    <xf numFmtId="0" fontId="0" fillId="4" borderId="42" xfId="0" applyFill="1" applyBorder="1"/>
    <xf numFmtId="165" fontId="0" fillId="4" borderId="2" xfId="0" applyNumberFormat="1" applyFill="1" applyBorder="1"/>
    <xf numFmtId="0" fontId="0" fillId="4" borderId="7" xfId="0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3" fontId="0" fillId="0" borderId="35" xfId="0" applyNumberFormat="1" applyFill="1" applyBorder="1"/>
    <xf numFmtId="167" fontId="0" fillId="0" borderId="0" xfId="0" applyNumberFormat="1" applyFill="1" applyBorder="1"/>
    <xf numFmtId="0" fontId="10" fillId="0" borderId="8" xfId="0" applyFont="1" applyBorder="1"/>
    <xf numFmtId="9" fontId="11" fillId="0" borderId="0" xfId="3" applyFont="1"/>
    <xf numFmtId="3" fontId="0" fillId="2" borderId="19" xfId="0" applyNumberFormat="1" applyFill="1" applyBorder="1"/>
    <xf numFmtId="9" fontId="3" fillId="0" borderId="44" xfId="0" applyNumberFormat="1" applyFont="1" applyBorder="1" applyAlignment="1">
      <alignment horizontal="center"/>
    </xf>
    <xf numFmtId="9" fontId="3" fillId="0" borderId="44" xfId="3" applyFont="1" applyBorder="1" applyAlignment="1">
      <alignment horizontal="center"/>
    </xf>
    <xf numFmtId="3" fontId="4" fillId="0" borderId="44" xfId="0" applyNumberFormat="1" applyFont="1" applyBorder="1" applyAlignment="1">
      <alignment horizontal="right"/>
    </xf>
    <xf numFmtId="3" fontId="4" fillId="0" borderId="41" xfId="0" applyNumberFormat="1" applyFont="1" applyBorder="1" applyAlignment="1">
      <alignment horizontal="right"/>
    </xf>
    <xf numFmtId="3" fontId="4" fillId="0" borderId="53" xfId="0" applyNumberFormat="1" applyFont="1" applyBorder="1" applyAlignment="1">
      <alignment horizontal="right"/>
    </xf>
    <xf numFmtId="3" fontId="4" fillId="0" borderId="54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55" xfId="0" applyNumberFormat="1" applyFont="1" applyBorder="1" applyAlignment="1">
      <alignment horizontal="right"/>
    </xf>
    <xf numFmtId="3" fontId="4" fillId="0" borderId="45" xfId="0" applyNumberFormat="1" applyFont="1" applyBorder="1" applyAlignment="1">
      <alignment horizontal="right"/>
    </xf>
    <xf numFmtId="3" fontId="4" fillId="0" borderId="45" xfId="3" applyNumberFormat="1" applyFont="1" applyBorder="1" applyAlignment="1">
      <alignment horizontal="right"/>
    </xf>
    <xf numFmtId="9" fontId="1" fillId="0" borderId="0" xfId="3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3" fontId="4" fillId="0" borderId="0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3" fontId="3" fillId="0" borderId="14" xfId="0" applyNumberFormat="1" applyFont="1" applyBorder="1"/>
    <xf numFmtId="3" fontId="3" fillId="0" borderId="16" xfId="0" applyNumberFormat="1" applyFont="1" applyBorder="1"/>
    <xf numFmtId="3" fontId="3" fillId="0" borderId="17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33" xfId="0" applyFont="1" applyFill="1" applyBorder="1" applyAlignment="1">
      <alignment horizontal="center" wrapText="1"/>
    </xf>
    <xf numFmtId="38" fontId="0" fillId="0" borderId="30" xfId="0" applyNumberFormat="1" applyBorder="1"/>
    <xf numFmtId="38" fontId="0" fillId="0" borderId="56" xfId="0" applyNumberFormat="1" applyBorder="1"/>
    <xf numFmtId="173" fontId="17" fillId="0" borderId="37" xfId="3" applyNumberFormat="1" applyFont="1" applyFill="1" applyBorder="1" applyAlignment="1">
      <alignment horizontal="right"/>
    </xf>
    <xf numFmtId="173" fontId="17" fillId="0" borderId="57" xfId="3" applyNumberFormat="1" applyFont="1" applyFill="1" applyBorder="1" applyAlignment="1">
      <alignment horizontal="right"/>
    </xf>
    <xf numFmtId="173" fontId="17" fillId="0" borderId="8" xfId="3" applyNumberFormat="1" applyFont="1" applyFill="1" applyBorder="1" applyAlignment="1">
      <alignment horizontal="right"/>
    </xf>
    <xf numFmtId="173" fontId="17" fillId="0" borderId="34" xfId="3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4" borderId="0" xfId="0" applyFill="1" applyBorder="1" applyAlignment="1">
      <alignment horizontal="center"/>
    </xf>
    <xf numFmtId="3" fontId="0" fillId="0" borderId="58" xfId="0" applyNumberFormat="1" applyBorder="1"/>
    <xf numFmtId="3" fontId="0" fillId="0" borderId="23" xfId="0" applyNumberFormat="1" applyBorder="1"/>
    <xf numFmtId="0" fontId="3" fillId="0" borderId="47" xfId="0" applyFont="1" applyBorder="1" applyAlignment="1">
      <alignment horizontal="right"/>
    </xf>
    <xf numFmtId="164" fontId="26" fillId="5" borderId="59" xfId="0" applyNumberFormat="1" applyFont="1" applyFill="1" applyBorder="1"/>
    <xf numFmtId="0" fontId="23" fillId="0" borderId="0" xfId="0" applyFont="1"/>
    <xf numFmtId="0" fontId="27" fillId="0" borderId="0" xfId="0" applyFont="1"/>
    <xf numFmtId="165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left"/>
    </xf>
    <xf numFmtId="0" fontId="3" fillId="4" borderId="35" xfId="0" applyFont="1" applyFill="1" applyBorder="1" applyAlignment="1">
      <alignment horizontal="center" wrapText="1"/>
    </xf>
    <xf numFmtId="0" fontId="0" fillId="4" borderId="29" xfId="0" applyFill="1" applyBorder="1"/>
    <xf numFmtId="3" fontId="0" fillId="4" borderId="29" xfId="0" applyNumberFormat="1" applyFill="1" applyBorder="1"/>
    <xf numFmtId="3" fontId="0" fillId="4" borderId="36" xfId="0" applyNumberFormat="1" applyFill="1" applyBorder="1"/>
    <xf numFmtId="0" fontId="3" fillId="4" borderId="37" xfId="0" applyFont="1" applyFill="1" applyBorder="1" applyAlignment="1">
      <alignment horizontal="center" wrapText="1"/>
    </xf>
    <xf numFmtId="165" fontId="0" fillId="4" borderId="4" xfId="0" applyNumberFormat="1" applyFill="1" applyBorder="1" applyAlignment="1">
      <alignment horizontal="center"/>
    </xf>
    <xf numFmtId="165" fontId="0" fillId="4" borderId="38" xfId="0" applyNumberFormat="1" applyFill="1" applyBorder="1" applyAlignment="1">
      <alignment horizontal="center"/>
    </xf>
    <xf numFmtId="2" fontId="26" fillId="5" borderId="60" xfId="0" applyNumberFormat="1" applyFont="1" applyFill="1" applyBorder="1" applyAlignment="1" applyProtection="1">
      <alignment horizontal="center"/>
      <protection locked="0"/>
    </xf>
    <xf numFmtId="0" fontId="18" fillId="5" borderId="60" xfId="0" applyFont="1" applyFill="1" applyBorder="1" applyAlignment="1" applyProtection="1">
      <alignment horizontal="center"/>
      <protection locked="0"/>
    </xf>
    <xf numFmtId="164" fontId="18" fillId="5" borderId="59" xfId="0" applyNumberFormat="1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3" fontId="0" fillId="4" borderId="29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3" fontId="4" fillId="0" borderId="39" xfId="0" applyNumberFormat="1" applyFont="1" applyBorder="1" applyAlignment="1">
      <alignment horizontal="right"/>
    </xf>
    <xf numFmtId="3" fontId="4" fillId="0" borderId="42" xfId="0" applyNumberFormat="1" applyFont="1" applyBorder="1" applyAlignment="1">
      <alignment horizontal="right"/>
    </xf>
    <xf numFmtId="0" fontId="3" fillId="0" borderId="61" xfId="0" applyFont="1" applyBorder="1" applyAlignment="1">
      <alignment horizontal="center"/>
    </xf>
    <xf numFmtId="3" fontId="4" fillId="0" borderId="61" xfId="0" applyNumberFormat="1" applyFont="1" applyBorder="1"/>
    <xf numFmtId="3" fontId="4" fillId="0" borderId="62" xfId="0" applyNumberFormat="1" applyFont="1" applyBorder="1"/>
    <xf numFmtId="3" fontId="4" fillId="0" borderId="63" xfId="0" applyNumberFormat="1" applyFont="1" applyBorder="1"/>
    <xf numFmtId="3" fontId="4" fillId="0" borderId="29" xfId="0" applyNumberFormat="1" applyFont="1" applyBorder="1"/>
    <xf numFmtId="3" fontId="4" fillId="0" borderId="29" xfId="0" applyNumberFormat="1" applyFont="1" applyBorder="1" applyAlignment="1">
      <alignment horizontal="center"/>
    </xf>
    <xf numFmtId="0" fontId="11" fillId="0" borderId="29" xfId="0" applyFont="1" applyBorder="1"/>
    <xf numFmtId="3" fontId="1" fillId="0" borderId="63" xfId="0" applyNumberFormat="1" applyFont="1" applyBorder="1"/>
    <xf numFmtId="3" fontId="3" fillId="0" borderId="0" xfId="0" applyNumberFormat="1" applyFont="1" applyBorder="1"/>
    <xf numFmtId="0" fontId="3" fillId="5" borderId="2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38" fontId="0" fillId="0" borderId="38" xfId="0" quotePrefix="1" applyNumberFormat="1" applyBorder="1"/>
    <xf numFmtId="166" fontId="3" fillId="0" borderId="0" xfId="1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left"/>
    </xf>
    <xf numFmtId="38" fontId="3" fillId="0" borderId="2" xfId="1" applyNumberFormat="1" applyFont="1" applyBorder="1" applyAlignment="1">
      <alignment horizontal="right"/>
    </xf>
    <xf numFmtId="38" fontId="3" fillId="0" borderId="19" xfId="1" applyNumberFormat="1" applyFont="1" applyBorder="1" applyAlignment="1">
      <alignment horizontal="right"/>
    </xf>
    <xf numFmtId="164" fontId="14" fillId="4" borderId="60" xfId="1" applyNumberFormat="1" applyFont="1" applyFill="1" applyBorder="1" applyAlignment="1">
      <alignment horizontal="center"/>
    </xf>
    <xf numFmtId="164" fontId="3" fillId="4" borderId="29" xfId="1" applyNumberFormat="1" applyFont="1" applyFill="1" applyBorder="1" applyAlignment="1">
      <alignment horizontal="left"/>
    </xf>
    <xf numFmtId="164" fontId="3" fillId="4" borderId="35" xfId="1" applyNumberFormat="1" applyFont="1" applyFill="1" applyBorder="1" applyAlignment="1">
      <alignment horizontal="left"/>
    </xf>
    <xf numFmtId="1" fontId="3" fillId="4" borderId="64" xfId="1" applyNumberFormat="1" applyFont="1" applyFill="1" applyBorder="1" applyAlignment="1">
      <alignment horizontal="center"/>
    </xf>
    <xf numFmtId="1" fontId="3" fillId="4" borderId="65" xfId="1" applyNumberFormat="1" applyFont="1" applyFill="1" applyBorder="1" applyAlignment="1">
      <alignment horizontal="center"/>
    </xf>
    <xf numFmtId="164" fontId="3" fillId="4" borderId="66" xfId="1" quotePrefix="1" applyNumberFormat="1" applyFont="1" applyFill="1" applyBorder="1" applyAlignment="1">
      <alignment horizontal="center"/>
    </xf>
    <xf numFmtId="3" fontId="4" fillId="0" borderId="0" xfId="1" applyNumberFormat="1" applyFont="1" applyBorder="1" applyAlignment="1">
      <alignment horizontal="right"/>
    </xf>
    <xf numFmtId="166" fontId="3" fillId="0" borderId="29" xfId="1" applyNumberFormat="1" applyFont="1" applyBorder="1" applyAlignment="1">
      <alignment horizontal="center"/>
    </xf>
    <xf numFmtId="3" fontId="4" fillId="0" borderId="29" xfId="1" applyNumberFormat="1" applyFont="1" applyBorder="1" applyAlignment="1">
      <alignment horizontal="right"/>
    </xf>
    <xf numFmtId="3" fontId="4" fillId="0" borderId="14" xfId="1" applyNumberFormat="1" applyFont="1" applyBorder="1" applyAlignment="1">
      <alignment horizontal="right"/>
    </xf>
    <xf numFmtId="164" fontId="1" fillId="0" borderId="35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49" fontId="10" fillId="0" borderId="0" xfId="1" applyNumberFormat="1" applyFont="1" applyFill="1" applyAlignment="1">
      <alignment horizontal="left"/>
    </xf>
    <xf numFmtId="164" fontId="10" fillId="0" borderId="0" xfId="1" applyNumberFormat="1" applyFont="1" applyFill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0" fillId="0" borderId="14" xfId="1" applyNumberFormat="1" applyFont="1" applyFill="1" applyBorder="1" applyAlignment="1">
      <alignment horizontal="center"/>
    </xf>
    <xf numFmtId="38" fontId="10" fillId="0" borderId="2" xfId="1" applyNumberFormat="1" applyFont="1" applyBorder="1" applyAlignment="1">
      <alignment horizontal="right"/>
    </xf>
    <xf numFmtId="166" fontId="3" fillId="0" borderId="67" xfId="1" applyNumberFormat="1" applyFont="1" applyBorder="1" applyAlignment="1">
      <alignment horizontal="center"/>
    </xf>
    <xf numFmtId="17" fontId="13" fillId="2" borderId="64" xfId="0" applyNumberFormat="1" applyFont="1" applyFill="1" applyBorder="1" applyAlignment="1">
      <alignment horizontal="center" wrapText="1"/>
    </xf>
    <xf numFmtId="0" fontId="4" fillId="0" borderId="0" xfId="0" applyFont="1" applyFill="1" applyBorder="1" applyProtection="1">
      <protection locked="0"/>
    </xf>
    <xf numFmtId="38" fontId="3" fillId="0" borderId="30" xfId="0" applyNumberFormat="1" applyFont="1" applyBorder="1"/>
    <xf numFmtId="0" fontId="29" fillId="0" borderId="8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29" fillId="0" borderId="0" xfId="0" applyFont="1" applyBorder="1" applyAlignment="1">
      <alignment horizontal="center"/>
    </xf>
    <xf numFmtId="167" fontId="28" fillId="0" borderId="0" xfId="0" applyNumberFormat="1" applyFont="1" applyBorder="1"/>
    <xf numFmtId="3" fontId="28" fillId="0" borderId="0" xfId="0" applyNumberFormat="1" applyFont="1"/>
    <xf numFmtId="3" fontId="28" fillId="0" borderId="14" xfId="0" applyNumberFormat="1" applyFont="1" applyBorder="1"/>
    <xf numFmtId="3" fontId="10" fillId="0" borderId="14" xfId="0" applyNumberFormat="1" applyFont="1" applyBorder="1"/>
    <xf numFmtId="0" fontId="10" fillId="0" borderId="0" xfId="0" applyFont="1" applyBorder="1" applyAlignment="1">
      <alignment horizontal="left"/>
    </xf>
    <xf numFmtId="0" fontId="28" fillId="0" borderId="0" xfId="0" applyFont="1"/>
    <xf numFmtId="0" fontId="10" fillId="0" borderId="2" xfId="0" applyFont="1" applyBorder="1" applyAlignment="1">
      <alignment horizontal="right"/>
    </xf>
    <xf numFmtId="0" fontId="29" fillId="0" borderId="2" xfId="0" applyFont="1" applyBorder="1" applyAlignment="1">
      <alignment horizontal="center"/>
    </xf>
    <xf numFmtId="167" fontId="28" fillId="0" borderId="2" xfId="0" applyNumberFormat="1" applyFont="1" applyBorder="1"/>
    <xf numFmtId="3" fontId="28" fillId="0" borderId="2" xfId="0" applyNumberFormat="1" applyFont="1" applyBorder="1"/>
    <xf numFmtId="3" fontId="28" fillId="0" borderId="19" xfId="0" applyNumberFormat="1" applyFont="1" applyBorder="1"/>
    <xf numFmtId="3" fontId="10" fillId="0" borderId="19" xfId="0" applyNumberFormat="1" applyFont="1" applyBorder="1"/>
    <xf numFmtId="0" fontId="10" fillId="0" borderId="2" xfId="0" applyFont="1" applyBorder="1" applyAlignment="1">
      <alignment horizontal="left"/>
    </xf>
    <xf numFmtId="0" fontId="28" fillId="0" borderId="2" xfId="0" applyFont="1" applyBorder="1"/>
    <xf numFmtId="0" fontId="10" fillId="0" borderId="0" xfId="0" applyFont="1" applyFill="1" applyBorder="1"/>
    <xf numFmtId="0" fontId="29" fillId="0" borderId="0" xfId="0" applyFont="1" applyFill="1" applyBorder="1" applyAlignment="1">
      <alignment horizontal="center"/>
    </xf>
    <xf numFmtId="3" fontId="10" fillId="0" borderId="6" xfId="0" applyNumberFormat="1" applyFont="1" applyBorder="1"/>
    <xf numFmtId="3" fontId="10" fillId="0" borderId="0" xfId="0" applyNumberFormat="1" applyFont="1" applyBorder="1" applyAlignment="1">
      <alignment horizontal="center"/>
    </xf>
    <xf numFmtId="3" fontId="10" fillId="0" borderId="28" xfId="0" applyNumberFormat="1" applyFont="1" applyBorder="1"/>
    <xf numFmtId="3" fontId="10" fillId="0" borderId="0" xfId="0" applyNumberFormat="1" applyFont="1" applyBorder="1"/>
    <xf numFmtId="3" fontId="3" fillId="0" borderId="30" xfId="0" applyNumberFormat="1" applyFont="1" applyBorder="1"/>
    <xf numFmtId="3" fontId="10" fillId="0" borderId="34" xfId="0" applyNumberFormat="1" applyFont="1" applyBorder="1"/>
    <xf numFmtId="3" fontId="10" fillId="0" borderId="8" xfId="0" applyNumberFormat="1" applyFont="1" applyBorder="1" applyAlignment="1">
      <alignment horizontal="center"/>
    </xf>
    <xf numFmtId="3" fontId="10" fillId="0" borderId="27" xfId="0" applyNumberFormat="1" applyFont="1" applyBorder="1"/>
    <xf numFmtId="3" fontId="10" fillId="0" borderId="8" xfId="0" applyNumberFormat="1" applyFont="1" applyBorder="1"/>
    <xf numFmtId="3" fontId="10" fillId="0" borderId="13" xfId="0" applyNumberFormat="1" applyFont="1" applyBorder="1"/>
    <xf numFmtId="3" fontId="10" fillId="0" borderId="33" xfId="0" applyNumberFormat="1" applyFont="1" applyBorder="1"/>
    <xf numFmtId="3" fontId="4" fillId="0" borderId="0" xfId="0" applyNumberFormat="1" applyFont="1"/>
    <xf numFmtId="3" fontId="4" fillId="0" borderId="14" xfId="0" applyNumberFormat="1" applyFont="1" applyBorder="1"/>
    <xf numFmtId="3" fontId="4" fillId="0" borderId="2" xfId="0" applyNumberFormat="1" applyFont="1" applyBorder="1"/>
    <xf numFmtId="3" fontId="4" fillId="0" borderId="19" xfId="0" applyNumberFormat="1" applyFont="1" applyBorder="1"/>
    <xf numFmtId="164" fontId="1" fillId="0" borderId="29" xfId="1" applyNumberFormat="1" applyBorder="1" applyAlignment="1">
      <alignment horizontal="center"/>
    </xf>
    <xf numFmtId="164" fontId="1" fillId="0" borderId="29" xfId="1" applyNumberFormat="1" applyFont="1" applyBorder="1" applyAlignment="1">
      <alignment horizontal="center"/>
    </xf>
    <xf numFmtId="3" fontId="4" fillId="0" borderId="68" xfId="0" applyNumberFormat="1" applyFont="1" applyBorder="1"/>
    <xf numFmtId="3" fontId="4" fillId="0" borderId="69" xfId="0" applyNumberFormat="1" applyFont="1" applyBorder="1"/>
    <xf numFmtId="3" fontId="4" fillId="0" borderId="26" xfId="0" applyNumberFormat="1" applyFont="1" applyBorder="1"/>
    <xf numFmtId="3" fontId="4" fillId="0" borderId="0" xfId="0" applyNumberFormat="1" applyFont="1" applyBorder="1"/>
    <xf numFmtId="3" fontId="4" fillId="0" borderId="70" xfId="0" applyNumberFormat="1" applyFont="1" applyBorder="1"/>
    <xf numFmtId="0" fontId="4" fillId="0" borderId="29" xfId="0" applyFont="1" applyBorder="1"/>
    <xf numFmtId="0" fontId="4" fillId="0" borderId="14" xfId="0" applyFont="1" applyBorder="1"/>
    <xf numFmtId="9" fontId="4" fillId="0" borderId="29" xfId="0" applyNumberFormat="1" applyFont="1" applyBorder="1" applyAlignment="1">
      <alignment horizontal="center"/>
    </xf>
    <xf numFmtId="9" fontId="4" fillId="0" borderId="0" xfId="0" applyNumberFormat="1" applyFont="1" applyBorder="1"/>
    <xf numFmtId="9" fontId="4" fillId="0" borderId="14" xfId="0" applyNumberFormat="1" applyFont="1" applyBorder="1"/>
    <xf numFmtId="9" fontId="4" fillId="0" borderId="0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3" fontId="4" fillId="0" borderId="35" xfId="0" applyNumberFormat="1" applyFont="1" applyBorder="1"/>
    <xf numFmtId="3" fontId="4" fillId="0" borderId="8" xfId="0" applyNumberFormat="1" applyFont="1" applyBorder="1"/>
    <xf numFmtId="3" fontId="4" fillId="0" borderId="13" xfId="0" applyNumberFormat="1" applyFont="1" applyBorder="1"/>
    <xf numFmtId="9" fontId="4" fillId="0" borderId="29" xfId="0" applyNumberFormat="1" applyFont="1" applyBorder="1"/>
    <xf numFmtId="3" fontId="3" fillId="0" borderId="71" xfId="0" applyNumberFormat="1" applyFont="1" applyBorder="1"/>
    <xf numFmtId="3" fontId="3" fillId="0" borderId="31" xfId="0" applyNumberFormat="1" applyFont="1" applyBorder="1"/>
    <xf numFmtId="3" fontId="4" fillId="0" borderId="30" xfId="0" applyNumberFormat="1" applyFont="1" applyBorder="1"/>
    <xf numFmtId="0" fontId="4" fillId="0" borderId="30" xfId="0" applyFont="1" applyBorder="1"/>
    <xf numFmtId="3" fontId="4" fillId="0" borderId="56" xfId="0" applyNumberFormat="1" applyFont="1" applyBorder="1"/>
    <xf numFmtId="164" fontId="4" fillId="2" borderId="0" xfId="1" applyNumberFormat="1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0" fillId="0" borderId="72" xfId="0" applyNumberFormat="1" applyFill="1" applyBorder="1" applyAlignment="1">
      <alignment horizontal="center"/>
    </xf>
    <xf numFmtId="3" fontId="0" fillId="5" borderId="73" xfId="0" applyNumberFormat="1" applyFill="1" applyBorder="1"/>
    <xf numFmtId="166" fontId="3" fillId="0" borderId="74" xfId="1" applyNumberFormat="1" applyFont="1" applyBorder="1" applyAlignment="1">
      <alignment horizontal="center"/>
    </xf>
    <xf numFmtId="38" fontId="3" fillId="0" borderId="12" xfId="1" applyNumberFormat="1" applyFont="1" applyBorder="1" applyAlignment="1">
      <alignment horizontal="right"/>
    </xf>
    <xf numFmtId="49" fontId="3" fillId="0" borderId="3" xfId="1" applyNumberFormat="1" applyFont="1" applyBorder="1" applyAlignment="1">
      <alignment horizontal="right"/>
    </xf>
    <xf numFmtId="166" fontId="3" fillId="0" borderId="75" xfId="1" applyNumberFormat="1" applyFont="1" applyBorder="1" applyAlignment="1">
      <alignment horizontal="center"/>
    </xf>
    <xf numFmtId="166" fontId="3" fillId="0" borderId="76" xfId="1" applyNumberFormat="1" applyFont="1" applyBorder="1" applyAlignment="1">
      <alignment horizontal="center"/>
    </xf>
    <xf numFmtId="38" fontId="3" fillId="0" borderId="29" xfId="1" applyNumberFormat="1" applyFont="1" applyBorder="1" applyAlignment="1">
      <alignment horizontal="right"/>
    </xf>
    <xf numFmtId="38" fontId="3" fillId="0" borderId="36" xfId="1" applyNumberFormat="1" applyFont="1" applyBorder="1" applyAlignment="1">
      <alignment horizontal="right"/>
    </xf>
    <xf numFmtId="38" fontId="3" fillId="0" borderId="77" xfId="1" applyNumberFormat="1" applyFont="1" applyBorder="1" applyAlignment="1">
      <alignment horizontal="right"/>
    </xf>
    <xf numFmtId="38" fontId="3" fillId="0" borderId="24" xfId="1" applyNumberFormat="1" applyFont="1" applyBorder="1" applyAlignment="1">
      <alignment horizontal="right"/>
    </xf>
    <xf numFmtId="38" fontId="3" fillId="0" borderId="35" xfId="1" applyNumberFormat="1" applyFont="1" applyBorder="1" applyAlignment="1">
      <alignment horizontal="right"/>
    </xf>
    <xf numFmtId="38" fontId="3" fillId="0" borderId="8" xfId="1" applyNumberFormat="1" applyFont="1" applyBorder="1" applyAlignment="1">
      <alignment horizontal="right"/>
    </xf>
    <xf numFmtId="38" fontId="3" fillId="0" borderId="13" xfId="1" applyNumberFormat="1" applyFont="1" applyBorder="1" applyAlignment="1">
      <alignment horizontal="right"/>
    </xf>
    <xf numFmtId="0" fontId="14" fillId="0" borderId="8" xfId="0" applyFont="1" applyBorder="1"/>
    <xf numFmtId="0" fontId="23" fillId="0" borderId="0" xfId="0" applyFont="1" applyAlignment="1">
      <alignment wrapText="1"/>
    </xf>
    <xf numFmtId="0" fontId="18" fillId="0" borderId="8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8" xfId="0" applyFont="1" applyBorder="1" applyAlignment="1">
      <alignment horizontal="right"/>
    </xf>
    <xf numFmtId="165" fontId="18" fillId="0" borderId="0" xfId="3" applyNumberFormat="1" applyFont="1" applyAlignment="1">
      <alignment horizontal="right"/>
    </xf>
    <xf numFmtId="0" fontId="0" fillId="6" borderId="0" xfId="0" applyFill="1"/>
    <xf numFmtId="49" fontId="32" fillId="6" borderId="15" xfId="1" applyNumberFormat="1" applyFont="1" applyFill="1" applyBorder="1" applyAlignment="1">
      <alignment horizontal="right"/>
    </xf>
    <xf numFmtId="0" fontId="4" fillId="6" borderId="0" xfId="0" applyFont="1" applyFill="1"/>
    <xf numFmtId="49" fontId="5" fillId="6" borderId="15" xfId="1" applyNumberFormat="1" applyFont="1" applyFill="1" applyBorder="1" applyAlignment="1">
      <alignment horizontal="right"/>
    </xf>
    <xf numFmtId="3" fontId="33" fillId="0" borderId="0" xfId="1" applyNumberFormat="1" applyFont="1" applyAlignment="1">
      <alignment horizontal="left" vertical="center" wrapText="1"/>
    </xf>
    <xf numFmtId="3" fontId="35" fillId="0" borderId="0" xfId="0" applyNumberFormat="1" applyFont="1"/>
    <xf numFmtId="3" fontId="36" fillId="0" borderId="0" xfId="1" applyNumberFormat="1" applyFont="1" applyFill="1" applyAlignment="1">
      <alignment horizontal="left"/>
    </xf>
    <xf numFmtId="3" fontId="37" fillId="0" borderId="0" xfId="1" applyNumberFormat="1" applyFont="1" applyBorder="1" applyAlignment="1">
      <alignment horizontal="center"/>
    </xf>
    <xf numFmtId="3" fontId="37" fillId="0" borderId="0" xfId="0" applyNumberFormat="1" applyFont="1"/>
    <xf numFmtId="3" fontId="38" fillId="0" borderId="0" xfId="0" applyNumberFormat="1" applyFont="1" applyAlignment="1">
      <alignment horizontal="center" vertical="center"/>
    </xf>
    <xf numFmtId="3" fontId="34" fillId="0" borderId="0" xfId="1" applyNumberFormat="1" applyFont="1" applyBorder="1" applyAlignment="1">
      <alignment horizontal="center" vertical="top"/>
    </xf>
    <xf numFmtId="3" fontId="39" fillId="0" borderId="0" xfId="1" applyNumberFormat="1" applyFont="1" applyFill="1" applyAlignment="1">
      <alignment horizontal="left"/>
    </xf>
    <xf numFmtId="0" fontId="40" fillId="0" borderId="0" xfId="0" applyNumberFormat="1" applyFont="1" applyFill="1" applyAlignment="1">
      <alignment vertical="top" wrapText="1"/>
    </xf>
    <xf numFmtId="0" fontId="40" fillId="0" borderId="0" xfId="0" applyFont="1" applyFill="1"/>
    <xf numFmtId="174" fontId="40" fillId="0" borderId="0" xfId="1" applyNumberFormat="1" applyFont="1" applyFill="1" applyAlignment="1">
      <alignment horizontal="center"/>
    </xf>
    <xf numFmtId="43" fontId="40" fillId="0" borderId="0" xfId="1" applyFont="1" applyFill="1"/>
    <xf numFmtId="37" fontId="40" fillId="0" borderId="0" xfId="1" applyNumberFormat="1" applyFont="1" applyFill="1"/>
    <xf numFmtId="164" fontId="40" fillId="0" borderId="0" xfId="1" applyNumberFormat="1" applyFont="1" applyFill="1"/>
    <xf numFmtId="0" fontId="40" fillId="0" borderId="0" xfId="1" applyNumberFormat="1" applyFont="1" applyFill="1"/>
    <xf numFmtId="38" fontId="35" fillId="0" borderId="0" xfId="0" applyNumberFormat="1" applyFont="1" applyFill="1" applyAlignment="1" applyProtection="1">
      <alignment horizontal="left"/>
      <protection locked="0"/>
    </xf>
    <xf numFmtId="0" fontId="40" fillId="0" borderId="0" xfId="1" applyNumberFormat="1" applyFont="1" applyFill="1" applyBorder="1"/>
    <xf numFmtId="174" fontId="40" fillId="0" borderId="0" xfId="1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 applyProtection="1">
      <alignment horizontal="left"/>
      <protection locked="0"/>
    </xf>
    <xf numFmtId="37" fontId="40" fillId="0" borderId="0" xfId="1" applyNumberFormat="1" applyFont="1" applyFill="1" applyBorder="1"/>
    <xf numFmtId="164" fontId="41" fillId="0" borderId="0" xfId="1" applyNumberFormat="1" applyFont="1" applyFill="1" applyBorder="1"/>
    <xf numFmtId="0" fontId="40" fillId="0" borderId="0" xfId="0" applyFont="1" applyFill="1" applyBorder="1"/>
    <xf numFmtId="38" fontId="40" fillId="0" borderId="0" xfId="0" applyNumberFormat="1" applyFont="1" applyFill="1" applyBorder="1"/>
    <xf numFmtId="174" fontId="40" fillId="0" borderId="0" xfId="0" applyNumberFormat="1" applyFont="1" applyFill="1" applyBorder="1" applyAlignment="1">
      <alignment horizontal="center"/>
    </xf>
    <xf numFmtId="164" fontId="40" fillId="0" borderId="0" xfId="1" applyNumberFormat="1" applyFont="1" applyFill="1" applyBorder="1"/>
    <xf numFmtId="174" fontId="40" fillId="0" borderId="0" xfId="1" quotePrefix="1" applyNumberFormat="1" applyFont="1" applyFill="1" applyAlignment="1">
      <alignment horizontal="center"/>
    </xf>
    <xf numFmtId="0" fontId="35" fillId="0" borderId="0" xfId="0" applyNumberFormat="1" applyFont="1" applyFill="1" applyAlignment="1" applyProtection="1">
      <alignment horizontal="left"/>
      <protection locked="0"/>
    </xf>
    <xf numFmtId="0" fontId="40" fillId="0" borderId="0" xfId="1" applyNumberFormat="1" applyFont="1" applyFill="1" applyAlignment="1">
      <alignment horizontal="center"/>
    </xf>
    <xf numFmtId="43" fontId="40" fillId="0" borderId="0" xfId="1" applyFont="1" applyFill="1" applyAlignment="1">
      <alignment horizontal="left"/>
    </xf>
    <xf numFmtId="37" fontId="40" fillId="0" borderId="0" xfId="1" applyNumberFormat="1" applyFont="1" applyFill="1" applyAlignment="1">
      <alignment horizontal="right"/>
    </xf>
    <xf numFmtId="174" fontId="40" fillId="0" borderId="0" xfId="1" applyNumberFormat="1" applyFont="1" applyFill="1"/>
    <xf numFmtId="0" fontId="42" fillId="0" borderId="44" xfId="0" applyFont="1" applyFill="1" applyBorder="1" applyAlignment="1">
      <alignment horizontal="center" vertical="center"/>
    </xf>
    <xf numFmtId="0" fontId="42" fillId="0" borderId="44" xfId="0" applyFont="1" applyFill="1" applyBorder="1" applyAlignment="1">
      <alignment vertical="center"/>
    </xf>
    <xf numFmtId="174" fontId="40" fillId="0" borderId="51" xfId="1" applyNumberFormat="1" applyFont="1" applyFill="1" applyBorder="1" applyAlignment="1">
      <alignment horizontal="center"/>
    </xf>
    <xf numFmtId="43" fontId="40" fillId="0" borderId="51" xfId="1" applyFont="1" applyFill="1" applyBorder="1"/>
    <xf numFmtId="37" fontId="40" fillId="0" borderId="51" xfId="1" applyNumberFormat="1" applyFont="1" applyFill="1" applyBorder="1"/>
    <xf numFmtId="38" fontId="40" fillId="0" borderId="51" xfId="0" applyNumberFormat="1" applyFont="1" applyFill="1" applyBorder="1"/>
    <xf numFmtId="174" fontId="40" fillId="0" borderId="51" xfId="0" applyNumberFormat="1" applyFont="1" applyFill="1" applyBorder="1" applyAlignment="1">
      <alignment horizontal="center"/>
    </xf>
    <xf numFmtId="37" fontId="40" fillId="0" borderId="51" xfId="0" applyNumberFormat="1" applyFont="1" applyFill="1" applyBorder="1"/>
    <xf numFmtId="164" fontId="40" fillId="0" borderId="51" xfId="1" applyNumberFormat="1" applyFont="1" applyFill="1" applyBorder="1"/>
    <xf numFmtId="174" fontId="40" fillId="0" borderId="0" xfId="0" applyNumberFormat="1" applyFont="1" applyFill="1" applyAlignment="1">
      <alignment horizontal="center"/>
    </xf>
    <xf numFmtId="37" fontId="40" fillId="0" borderId="0" xfId="0" applyNumberFormat="1" applyFont="1" applyFill="1"/>
    <xf numFmtId="3" fontId="40" fillId="0" borderId="0" xfId="0" applyNumberFormat="1" applyFont="1" applyFill="1" applyAlignment="1">
      <alignment vertical="top" wrapText="1"/>
    </xf>
    <xf numFmtId="3" fontId="40" fillId="0" borderId="0" xfId="0" applyNumberFormat="1" applyFont="1" applyFill="1"/>
    <xf numFmtId="3" fontId="35" fillId="0" borderId="0" xfId="0" applyNumberFormat="1" applyFont="1" applyFill="1" applyAlignment="1">
      <alignment vertical="top" wrapText="1"/>
    </xf>
    <xf numFmtId="3" fontId="35" fillId="0" borderId="0" xfId="0" applyNumberFormat="1" applyFont="1" applyFill="1"/>
    <xf numFmtId="3" fontId="40" fillId="0" borderId="0" xfId="1" applyNumberFormat="1" applyFont="1" applyFill="1" applyAlignment="1">
      <alignment vertical="top" wrapText="1"/>
    </xf>
    <xf numFmtId="174" fontId="40" fillId="0" borderId="0" xfId="1" applyNumberFormat="1" applyFont="1" applyFill="1" applyAlignment="1">
      <alignment horizontal="center" vertical="top" wrapText="1"/>
    </xf>
    <xf numFmtId="43" fontId="40" fillId="0" borderId="0" xfId="1" applyFont="1" applyFill="1" applyAlignment="1">
      <alignment vertical="top" wrapText="1"/>
    </xf>
    <xf numFmtId="37" fontId="40" fillId="0" borderId="2" xfId="1" applyNumberFormat="1" applyFont="1" applyFill="1" applyBorder="1" applyAlignment="1">
      <alignment vertical="top" wrapText="1"/>
    </xf>
    <xf numFmtId="17" fontId="40" fillId="0" borderId="2" xfId="1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3" fontId="40" fillId="0" borderId="0" xfId="1" applyNumberFormat="1" applyFont="1" applyFill="1" applyAlignment="1">
      <alignment horizontal="center" vertical="top" wrapText="1"/>
    </xf>
    <xf numFmtId="3" fontId="40" fillId="0" borderId="0" xfId="1" applyNumberFormat="1" applyFont="1" applyFill="1" applyBorder="1" applyAlignment="1">
      <alignment vertical="top" wrapText="1"/>
    </xf>
    <xf numFmtId="3" fontId="40" fillId="0" borderId="0" xfId="1" applyNumberFormat="1" applyFont="1" applyFill="1" applyBorder="1" applyAlignment="1">
      <alignment horizontal="center"/>
    </xf>
    <xf numFmtId="3" fontId="40" fillId="0" borderId="0" xfId="0" applyNumberFormat="1" applyFont="1" applyFill="1" applyBorder="1" applyAlignment="1">
      <alignment horizontal="center"/>
    </xf>
    <xf numFmtId="3" fontId="35" fillId="0" borderId="0" xfId="1" applyNumberFormat="1" applyFont="1" applyFill="1" applyAlignment="1">
      <alignment horizontal="center" vertical="top" wrapText="1"/>
    </xf>
    <xf numFmtId="3" fontId="35" fillId="0" borderId="0" xfId="0" applyNumberFormat="1" applyFont="1" applyFill="1" applyBorder="1" applyAlignment="1">
      <alignment horizontal="center"/>
    </xf>
    <xf numFmtId="0" fontId="40" fillId="0" borderId="51" xfId="0" applyNumberFormat="1" applyFont="1" applyFill="1" applyBorder="1"/>
    <xf numFmtId="164" fontId="40" fillId="0" borderId="0" xfId="1" applyNumberFormat="1" applyFont="1" applyAlignment="1">
      <alignment horizontal="right"/>
    </xf>
    <xf numFmtId="3" fontId="40" fillId="0" borderId="0" xfId="1" applyNumberFormat="1" applyFont="1" applyFill="1" applyBorder="1" applyAlignment="1">
      <alignment horizontal="right"/>
    </xf>
    <xf numFmtId="3" fontId="36" fillId="0" borderId="0" xfId="0" applyNumberFormat="1" applyFont="1"/>
    <xf numFmtId="3" fontId="38" fillId="0" borderId="0" xfId="0" applyNumberFormat="1" applyFont="1"/>
    <xf numFmtId="3" fontId="34" fillId="0" borderId="0" xfId="1" applyNumberFormat="1" applyFont="1" applyBorder="1" applyAlignment="1">
      <alignment horizontal="center" vertical="top"/>
    </xf>
    <xf numFmtId="38" fontId="20" fillId="0" borderId="53" xfId="0" applyNumberFormat="1" applyFont="1" applyBorder="1" applyAlignment="1">
      <alignment horizontal="center"/>
    </xf>
    <xf numFmtId="38" fontId="20" fillId="0" borderId="45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38" fontId="20" fillId="0" borderId="44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12" fillId="0" borderId="79" xfId="1" applyNumberFormat="1" applyFont="1" applyBorder="1" applyAlignment="1">
      <alignment horizontal="center" vertical="top"/>
    </xf>
    <xf numFmtId="164" fontId="12" fillId="0" borderId="80" xfId="1" applyNumberFormat="1" applyFont="1" applyBorder="1" applyAlignment="1">
      <alignment horizontal="center" vertical="top"/>
    </xf>
    <xf numFmtId="49" fontId="7" fillId="0" borderId="0" xfId="1" applyNumberFormat="1" applyFont="1" applyAlignment="1">
      <alignment horizontal="left" vertical="center"/>
    </xf>
    <xf numFmtId="0" fontId="3" fillId="0" borderId="2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81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1" fillId="0" borderId="0" xfId="1" applyNumberFormat="1" applyFont="1" applyAlignment="1">
      <alignment horizontal="left" wrapText="1"/>
    </xf>
    <xf numFmtId="164" fontId="12" fillId="0" borderId="84" xfId="1" applyNumberFormat="1" applyFont="1" applyBorder="1" applyAlignment="1">
      <alignment horizontal="center" vertical="top"/>
    </xf>
    <xf numFmtId="164" fontId="12" fillId="0" borderId="85" xfId="1" applyNumberFormat="1" applyFont="1" applyBorder="1" applyAlignment="1">
      <alignment horizontal="center" vertical="top"/>
    </xf>
    <xf numFmtId="164" fontId="12" fillId="0" borderId="86" xfId="1" applyNumberFormat="1" applyFont="1" applyBorder="1" applyAlignment="1">
      <alignment horizontal="center" vertical="top"/>
    </xf>
    <xf numFmtId="164" fontId="12" fillId="0" borderId="68" xfId="1" applyNumberFormat="1" applyFont="1" applyBorder="1" applyAlignment="1">
      <alignment horizontal="center" vertical="top"/>
    </xf>
    <xf numFmtId="164" fontId="12" fillId="0" borderId="69" xfId="1" applyNumberFormat="1" applyFont="1" applyBorder="1" applyAlignment="1">
      <alignment horizontal="center" vertical="top"/>
    </xf>
    <xf numFmtId="164" fontId="12" fillId="0" borderId="26" xfId="1" applyNumberFormat="1" applyFont="1" applyBorder="1" applyAlignment="1">
      <alignment horizontal="center" vertical="top"/>
    </xf>
    <xf numFmtId="0" fontId="8" fillId="0" borderId="28" xfId="0" applyFont="1" applyBorder="1" applyAlignment="1">
      <alignment horizontal="center" wrapText="1"/>
    </xf>
    <xf numFmtId="0" fontId="3" fillId="4" borderId="87" xfId="0" applyFont="1" applyFill="1" applyBorder="1" applyAlignment="1">
      <alignment horizontal="center"/>
    </xf>
    <xf numFmtId="0" fontId="3" fillId="4" borderId="74" xfId="0" applyFont="1" applyFill="1" applyBorder="1" applyAlignment="1">
      <alignment horizontal="center"/>
    </xf>
    <xf numFmtId="0" fontId="3" fillId="4" borderId="88" xfId="0" applyFont="1" applyFill="1" applyBorder="1" applyAlignment="1">
      <alignment horizontal="center"/>
    </xf>
    <xf numFmtId="0" fontId="14" fillId="0" borderId="78" xfId="0" applyFont="1" applyBorder="1" applyAlignment="1">
      <alignment horizontal="left"/>
    </xf>
    <xf numFmtId="0" fontId="14" fillId="0" borderId="89" xfId="0" applyFont="1" applyBorder="1" applyAlignment="1">
      <alignment horizontal="left"/>
    </xf>
    <xf numFmtId="0" fontId="14" fillId="0" borderId="4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3" fillId="0" borderId="41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14" fillId="0" borderId="2" xfId="0" applyFont="1" applyBorder="1" applyAlignment="1">
      <alignment horizontal="left"/>
    </xf>
  </cellXfs>
  <cellStyles count="4">
    <cellStyle name="Comma" xfId="1" builtinId="3"/>
    <cellStyle name="Euro" xfId="2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wharrie\2001BudgetProject\WINDOWS\DESKTOP\CAM\6Q%20Plan\6Q%20Plan\6Q%20Business%20P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EA/skeleton%20plan%20sept%20actu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etian\Finance\Controller%20Shared\2004%20Budget\2004%20Budg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2009_ProForma_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me\corp\Accounting\Restricted\Eds\budget\2007%20Budget\2007%20budget\department%20budgets%20-%20completed\Budget%20Engineering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me\corp\Accounting\Restricted\Eds\budget\2007%20Budget\2007%20budget\department%20budgets%20-%20completed\Budget%20NA%20Sales%2020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s"/>
      <sheetName val="Tax Calc"/>
      <sheetName val="Cap Chart"/>
      <sheetName val="ROI"/>
      <sheetName val="Assumptions"/>
      <sheetName val="Staff - Expense"/>
      <sheetName val="Staff - Plan"/>
      <sheetName val="Prop &amp; Equip"/>
      <sheetName val="Prop &amp; Equip - II"/>
      <sheetName val="Expense Wksheet"/>
      <sheetName val="Price Schedule"/>
      <sheetName val="Sales Projections"/>
      <sheetName val="Revenue Proje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Summary"/>
      <sheetName val="Slide support"/>
      <sheetName val="Assumptions"/>
      <sheetName val="2004 and 2005 MonthlyFinancials"/>
      <sheetName val="Bottoms up cash flow"/>
      <sheetName val="G &amp; A HC (2)"/>
      <sheetName val="QtrFinancials 000's"/>
      <sheetName val="Variables"/>
      <sheetName val="Salesmodel "/>
      <sheetName val="Assumptions and Allocations"/>
      <sheetName val="Fixed Asset rollforward"/>
      <sheetName val="Aras Total"/>
      <sheetName val="Sales"/>
      <sheetName val="Sales Cap"/>
      <sheetName val="Sales HC"/>
      <sheetName val="G &amp; A"/>
      <sheetName val="G &amp; A Cap"/>
      <sheetName val="G &amp; A HC"/>
      <sheetName val="Tech Service"/>
      <sheetName val="Tech Svcs Cap"/>
      <sheetName val="Tech Svcs HC"/>
      <sheetName val="Consulting"/>
      <sheetName val="Cslt HC"/>
      <sheetName val="Cslt Cap"/>
      <sheetName val="consulting forecast2"/>
      <sheetName val="Marketing"/>
      <sheetName val="Mkt Cap"/>
      <sheetName val="Mkt HC"/>
      <sheetName val="2006-2009 - Marketing Exps"/>
      <sheetName val="Engineering"/>
      <sheetName val="Eng HC"/>
      <sheetName val="Eng Cap"/>
      <sheetName val="Eng contractors"/>
      <sheetName val="consulting 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>
            <v>0</v>
          </cell>
        </row>
        <row r="4">
          <cell r="B4">
            <v>135000</v>
          </cell>
        </row>
        <row r="5">
          <cell r="B5">
            <v>185000</v>
          </cell>
        </row>
        <row r="6">
          <cell r="B6">
            <v>160000</v>
          </cell>
        </row>
        <row r="7">
          <cell r="B7">
            <v>185000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2 and 2003 Overview"/>
      <sheetName val="Ann Financials"/>
      <sheetName val="QtrFinancials"/>
      <sheetName val="2003 Bookings and  Revenue"/>
      <sheetName val="QtrFinancials 000's"/>
      <sheetName val="MonthlyFinancials"/>
      <sheetName val="Expenses"/>
      <sheetName val="Personnel"/>
      <sheetName val="2003 and 2004cap"/>
      <sheetName val="CapX"/>
      <sheetName val="Assumptions"/>
      <sheetName val="Quarterly Comparison"/>
      <sheetName val="PWKS Rollup"/>
      <sheetName val="Total Salaries"/>
      <sheetName val="R&amp;D Rollup"/>
      <sheetName val="PROG.MGMT"/>
      <sheetName val="PROG.MGMTSALARIES"/>
      <sheetName val="QUALITY ASSUR."/>
      <sheetName val="QUALITY ASSUR.SALARIES"/>
      <sheetName val="RESEARCH"/>
      <sheetName val="RESEARCH.SALARIES"/>
      <sheetName val="DEVELOPMENT"/>
      <sheetName val="DEVELOPMENT.SALARIES"/>
      <sheetName val="G&amp;A Rollup"/>
      <sheetName val="HUMAN RESOURCES"/>
      <sheetName val="HUMAN RESOURCES.SALARIES"/>
      <sheetName val="FINANCE"/>
      <sheetName val="FINANCE.SALARIES"/>
      <sheetName val="ADMINISTRATIVE"/>
      <sheetName val="ADMINISTRATIVE.SALARIES"/>
      <sheetName val="Marketing Rollup"/>
      <sheetName val="MARKETING"/>
      <sheetName val="MARKETING.SALARIES"/>
      <sheetName val="PRODUCT MANAGEM"/>
      <sheetName val="PRODUCT MANAGEM.SALARIES"/>
      <sheetName val="SALES"/>
      <sheetName val="SALES.SALARIES"/>
      <sheetName val="PRESALES"/>
      <sheetName val="PRESALES.SALARIES"/>
      <sheetName val="CS Rollup"/>
      <sheetName val="OPERATIONS"/>
      <sheetName val="OPERATIONS.SALARIES"/>
      <sheetName val="CONSULTING"/>
      <sheetName val="CONSULTING.SALARIES"/>
      <sheetName val="SUPPORT"/>
      <sheetName val="SUPPPORT.SALARIES"/>
      <sheetName val="Payroll Taxes"/>
      <sheetName val="Allocations"/>
      <sheetName val="IT Allocation"/>
      <sheetName val="INFORMATION TEC"/>
      <sheetName val="INFORMATION TEC.SALARIES"/>
      <sheetName val="Travel"/>
      <sheetName val="All accounts"/>
      <sheetName val="Benefits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 P&amp;L"/>
      <sheetName val="BookCollect"/>
      <sheetName val="FY07 Depart Exp"/>
      <sheetName val="Central EMEA P&amp;L USD"/>
      <sheetName val="N&amp;S EMEA P&amp;L USD"/>
      <sheetName val="NA Sales"/>
      <sheetName val="Marketing"/>
      <sheetName val="Engineering"/>
      <sheetName val="NA"/>
      <sheetName val="BOO"/>
      <sheetName val="Admin"/>
      <sheetName val="Actify Inc. "/>
      <sheetName val="Bookings"/>
    </sheetNames>
    <sheetDataSet>
      <sheetData sheetId="0"/>
      <sheetData sheetId="1"/>
      <sheetData sheetId="2">
        <row r="8">
          <cell r="E8">
            <v>83005.56779999999</v>
          </cell>
        </row>
      </sheetData>
      <sheetData sheetId="3"/>
      <sheetData sheetId="4"/>
      <sheetData sheetId="5">
        <row r="6">
          <cell r="E6">
            <v>31249.999999999996</v>
          </cell>
          <cell r="F6">
            <v>31249.999999999996</v>
          </cell>
          <cell r="G6">
            <v>31249.999999999996</v>
          </cell>
          <cell r="H6">
            <v>31249.999999999996</v>
          </cell>
          <cell r="I6">
            <v>22083.333333333336</v>
          </cell>
          <cell r="J6">
            <v>22083.333333333336</v>
          </cell>
          <cell r="K6">
            <v>22966.666666666668</v>
          </cell>
          <cell r="L6">
            <v>22966.666666666668</v>
          </cell>
          <cell r="M6">
            <v>22966.666666666668</v>
          </cell>
          <cell r="N6">
            <v>22966.666666666668</v>
          </cell>
          <cell r="O6">
            <v>22966.666666666668</v>
          </cell>
          <cell r="P6">
            <v>22966.666666666668</v>
          </cell>
        </row>
        <row r="7">
          <cell r="E7">
            <v>13316</v>
          </cell>
          <cell r="F7">
            <v>15646</v>
          </cell>
          <cell r="G7">
            <v>17976</v>
          </cell>
          <cell r="H7">
            <v>17976</v>
          </cell>
          <cell r="I7">
            <v>13106</v>
          </cell>
          <cell r="J7">
            <v>11676</v>
          </cell>
          <cell r="K7">
            <v>11676</v>
          </cell>
          <cell r="L7">
            <v>14536</v>
          </cell>
          <cell r="M7">
            <v>17396</v>
          </cell>
          <cell r="N7">
            <v>15966</v>
          </cell>
          <cell r="O7">
            <v>17396</v>
          </cell>
          <cell r="P7">
            <v>18826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500</v>
          </cell>
          <cell r="F9">
            <v>500</v>
          </cell>
          <cell r="G9">
            <v>500</v>
          </cell>
          <cell r="H9">
            <v>500</v>
          </cell>
          <cell r="I9">
            <v>500</v>
          </cell>
          <cell r="J9">
            <v>500</v>
          </cell>
          <cell r="K9">
            <v>500</v>
          </cell>
          <cell r="L9">
            <v>500</v>
          </cell>
          <cell r="M9">
            <v>500</v>
          </cell>
          <cell r="N9">
            <v>500</v>
          </cell>
          <cell r="O9">
            <v>500</v>
          </cell>
          <cell r="P9">
            <v>500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3365</v>
          </cell>
          <cell r="F12">
            <v>3365</v>
          </cell>
          <cell r="G12">
            <v>3365</v>
          </cell>
          <cell r="H12">
            <v>3365</v>
          </cell>
          <cell r="I12">
            <v>3365</v>
          </cell>
          <cell r="J12">
            <v>3365</v>
          </cell>
          <cell r="K12">
            <v>3768.8</v>
          </cell>
          <cell r="L12">
            <v>3768.8</v>
          </cell>
          <cell r="M12">
            <v>3768.8</v>
          </cell>
          <cell r="N12">
            <v>3768.8</v>
          </cell>
          <cell r="O12">
            <v>3768.8</v>
          </cell>
          <cell r="P12">
            <v>3768.8</v>
          </cell>
        </row>
        <row r="13">
          <cell r="E13">
            <v>250</v>
          </cell>
          <cell r="F13">
            <v>250</v>
          </cell>
          <cell r="G13">
            <v>250</v>
          </cell>
          <cell r="H13">
            <v>250</v>
          </cell>
          <cell r="I13">
            <v>200</v>
          </cell>
          <cell r="J13">
            <v>200</v>
          </cell>
          <cell r="K13">
            <v>200</v>
          </cell>
          <cell r="L13">
            <v>200</v>
          </cell>
          <cell r="M13">
            <v>200</v>
          </cell>
          <cell r="N13">
            <v>200</v>
          </cell>
          <cell r="O13">
            <v>200</v>
          </cell>
          <cell r="P13">
            <v>200</v>
          </cell>
        </row>
        <row r="14">
          <cell r="E14">
            <v>3565.28</v>
          </cell>
          <cell r="F14">
            <v>3751.6800000000003</v>
          </cell>
          <cell r="G14">
            <v>3938.08</v>
          </cell>
          <cell r="H14">
            <v>3938.08</v>
          </cell>
          <cell r="I14">
            <v>2815.146666666667</v>
          </cell>
          <cell r="J14">
            <v>2700.7466666666669</v>
          </cell>
          <cell r="K14">
            <v>2771.4133333333339</v>
          </cell>
          <cell r="L14">
            <v>3000.2133333333336</v>
          </cell>
          <cell r="M14">
            <v>3229.0133333333338</v>
          </cell>
          <cell r="N14">
            <v>3114.6133333333337</v>
          </cell>
          <cell r="O14">
            <v>3229.0133333333338</v>
          </cell>
          <cell r="P14">
            <v>3343.4133333333339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250</v>
          </cell>
          <cell r="F25">
            <v>250</v>
          </cell>
          <cell r="G25">
            <v>275</v>
          </cell>
          <cell r="H25">
            <v>275</v>
          </cell>
          <cell r="I25">
            <v>275</v>
          </cell>
          <cell r="J25">
            <v>275</v>
          </cell>
          <cell r="K25">
            <v>275</v>
          </cell>
          <cell r="L25">
            <v>275</v>
          </cell>
          <cell r="M25">
            <v>300</v>
          </cell>
          <cell r="N25">
            <v>300</v>
          </cell>
          <cell r="O25">
            <v>300</v>
          </cell>
          <cell r="P25">
            <v>300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30">
          <cell r="E30">
            <v>3700</v>
          </cell>
          <cell r="F30">
            <v>3700</v>
          </cell>
          <cell r="G30">
            <v>4500</v>
          </cell>
          <cell r="H30">
            <v>3700</v>
          </cell>
          <cell r="I30">
            <v>3700</v>
          </cell>
          <cell r="J30">
            <v>4500</v>
          </cell>
          <cell r="K30">
            <v>3700</v>
          </cell>
          <cell r="L30">
            <v>3700</v>
          </cell>
          <cell r="M30">
            <v>4500</v>
          </cell>
          <cell r="N30">
            <v>3700</v>
          </cell>
          <cell r="O30">
            <v>3700</v>
          </cell>
          <cell r="P30">
            <v>4500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7">
          <cell r="E37">
            <v>160</v>
          </cell>
          <cell r="F37">
            <v>160</v>
          </cell>
          <cell r="G37">
            <v>160</v>
          </cell>
          <cell r="H37">
            <v>160</v>
          </cell>
          <cell r="I37">
            <v>160</v>
          </cell>
          <cell r="J37">
            <v>160</v>
          </cell>
          <cell r="K37">
            <v>160</v>
          </cell>
          <cell r="L37">
            <v>160</v>
          </cell>
          <cell r="M37">
            <v>160</v>
          </cell>
          <cell r="N37">
            <v>160</v>
          </cell>
          <cell r="O37">
            <v>160</v>
          </cell>
          <cell r="P37">
            <v>160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1600</v>
          </cell>
          <cell r="F40">
            <v>1400</v>
          </cell>
          <cell r="G40">
            <v>1400</v>
          </cell>
          <cell r="H40">
            <v>1400</v>
          </cell>
          <cell r="I40">
            <v>1400</v>
          </cell>
          <cell r="J40">
            <v>1400</v>
          </cell>
          <cell r="K40">
            <v>1400</v>
          </cell>
          <cell r="L40">
            <v>1400</v>
          </cell>
          <cell r="M40">
            <v>1400</v>
          </cell>
          <cell r="N40">
            <v>1400</v>
          </cell>
          <cell r="O40">
            <v>1400</v>
          </cell>
          <cell r="P40">
            <v>1400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5">
          <cell r="E45">
            <v>25</v>
          </cell>
          <cell r="F45">
            <v>25</v>
          </cell>
          <cell r="G45">
            <v>25</v>
          </cell>
          <cell r="H45">
            <v>25</v>
          </cell>
          <cell r="I45">
            <v>25</v>
          </cell>
          <cell r="J45">
            <v>25</v>
          </cell>
          <cell r="K45">
            <v>25</v>
          </cell>
          <cell r="L45">
            <v>25</v>
          </cell>
          <cell r="M45">
            <v>25</v>
          </cell>
          <cell r="N45">
            <v>25</v>
          </cell>
          <cell r="O45">
            <v>25</v>
          </cell>
          <cell r="P45">
            <v>25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2400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2400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E59">
            <v>2500</v>
          </cell>
          <cell r="F59">
            <v>2500</v>
          </cell>
          <cell r="G59">
            <v>2500</v>
          </cell>
          <cell r="H59">
            <v>2500</v>
          </cell>
          <cell r="I59">
            <v>2500</v>
          </cell>
          <cell r="J59">
            <v>2500</v>
          </cell>
          <cell r="K59">
            <v>2500</v>
          </cell>
          <cell r="L59">
            <v>2500</v>
          </cell>
          <cell r="M59">
            <v>2500</v>
          </cell>
          <cell r="N59">
            <v>2500</v>
          </cell>
          <cell r="O59">
            <v>2500</v>
          </cell>
          <cell r="P59">
            <v>2500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3200</v>
          </cell>
          <cell r="F62">
            <v>3200</v>
          </cell>
          <cell r="G62">
            <v>3200</v>
          </cell>
          <cell r="H62">
            <v>3200</v>
          </cell>
          <cell r="I62">
            <v>3200</v>
          </cell>
          <cell r="J62">
            <v>3200</v>
          </cell>
          <cell r="K62">
            <v>3200</v>
          </cell>
          <cell r="L62">
            <v>3200</v>
          </cell>
          <cell r="M62">
            <v>3200</v>
          </cell>
          <cell r="N62">
            <v>3200</v>
          </cell>
          <cell r="O62">
            <v>3200</v>
          </cell>
          <cell r="P62">
            <v>3200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5">
          <cell r="E75">
            <v>119.73</v>
          </cell>
          <cell r="F75">
            <v>258.61888888888888</v>
          </cell>
          <cell r="G75">
            <v>340.12777777777779</v>
          </cell>
          <cell r="H75">
            <v>340.12777777777779</v>
          </cell>
          <cell r="I75">
            <v>340.12777777777779</v>
          </cell>
          <cell r="J75">
            <v>340.12777777777779</v>
          </cell>
          <cell r="K75">
            <v>340.12777777777779</v>
          </cell>
          <cell r="L75">
            <v>340.12777777777779</v>
          </cell>
          <cell r="M75">
            <v>340.12777777777779</v>
          </cell>
          <cell r="N75">
            <v>340.12777777777779</v>
          </cell>
          <cell r="O75">
            <v>340.12777777777779</v>
          </cell>
          <cell r="P75">
            <v>340.13777777777779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81">
          <cell r="Q81">
            <v>730407.79666666663</v>
          </cell>
        </row>
        <row r="83">
          <cell r="E83">
            <v>5</v>
          </cell>
          <cell r="F83">
            <v>5</v>
          </cell>
          <cell r="G83">
            <v>5</v>
          </cell>
          <cell r="H83">
            <v>5</v>
          </cell>
          <cell r="I83">
            <v>4</v>
          </cell>
          <cell r="J83">
            <v>4</v>
          </cell>
          <cell r="K83">
            <v>4</v>
          </cell>
          <cell r="L83">
            <v>4</v>
          </cell>
          <cell r="M83">
            <v>4</v>
          </cell>
          <cell r="N83">
            <v>4</v>
          </cell>
          <cell r="O83">
            <v>4</v>
          </cell>
          <cell r="P83">
            <v>4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</sheetData>
      <sheetData sheetId="6">
        <row r="6">
          <cell r="E6">
            <v>5200</v>
          </cell>
          <cell r="F6">
            <v>5200</v>
          </cell>
          <cell r="G6">
            <v>5200</v>
          </cell>
          <cell r="H6">
            <v>5200</v>
          </cell>
          <cell r="I6">
            <v>5200</v>
          </cell>
          <cell r="J6">
            <v>5200</v>
          </cell>
          <cell r="K6">
            <v>5408</v>
          </cell>
          <cell r="L6">
            <v>5408</v>
          </cell>
          <cell r="M6">
            <v>5408</v>
          </cell>
          <cell r="N6">
            <v>5408</v>
          </cell>
          <cell r="O6">
            <v>5408</v>
          </cell>
          <cell r="P6">
            <v>5408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77</v>
          </cell>
          <cell r="F9">
            <v>77</v>
          </cell>
          <cell r="G9">
            <v>77</v>
          </cell>
          <cell r="H9">
            <v>77</v>
          </cell>
          <cell r="I9">
            <v>77</v>
          </cell>
          <cell r="J9">
            <v>77</v>
          </cell>
          <cell r="K9">
            <v>77</v>
          </cell>
          <cell r="L9">
            <v>77</v>
          </cell>
          <cell r="M9">
            <v>77</v>
          </cell>
          <cell r="N9">
            <v>77</v>
          </cell>
          <cell r="O9">
            <v>77</v>
          </cell>
          <cell r="P9">
            <v>77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380</v>
          </cell>
          <cell r="F12">
            <v>380</v>
          </cell>
          <cell r="G12">
            <v>380</v>
          </cell>
          <cell r="H12">
            <v>380</v>
          </cell>
          <cell r="I12">
            <v>380</v>
          </cell>
          <cell r="J12">
            <v>380</v>
          </cell>
          <cell r="K12">
            <v>403.20000000000005</v>
          </cell>
          <cell r="L12">
            <v>403.20000000000005</v>
          </cell>
          <cell r="M12">
            <v>403.20000000000005</v>
          </cell>
          <cell r="N12">
            <v>403.20000000000005</v>
          </cell>
          <cell r="O12">
            <v>403.20000000000005</v>
          </cell>
          <cell r="P12">
            <v>403.20000000000005</v>
          </cell>
        </row>
        <row r="13">
          <cell r="E13">
            <v>15</v>
          </cell>
          <cell r="F13">
            <v>15</v>
          </cell>
          <cell r="G13">
            <v>15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15</v>
          </cell>
          <cell r="N13">
            <v>15</v>
          </cell>
          <cell r="O13">
            <v>15</v>
          </cell>
          <cell r="P13">
            <v>15</v>
          </cell>
        </row>
        <row r="14">
          <cell r="E14">
            <v>364.00000000000006</v>
          </cell>
          <cell r="F14">
            <v>364.00000000000006</v>
          </cell>
          <cell r="G14">
            <v>364.00000000000006</v>
          </cell>
          <cell r="H14">
            <v>364.00000000000006</v>
          </cell>
          <cell r="I14">
            <v>364.00000000000006</v>
          </cell>
          <cell r="J14">
            <v>364.00000000000006</v>
          </cell>
          <cell r="K14">
            <v>378.56000000000006</v>
          </cell>
          <cell r="L14">
            <v>378.56000000000006</v>
          </cell>
          <cell r="M14">
            <v>378.56000000000006</v>
          </cell>
          <cell r="N14">
            <v>378.56000000000006</v>
          </cell>
          <cell r="O14">
            <v>378.56000000000006</v>
          </cell>
          <cell r="P14">
            <v>378.56000000000006</v>
          </cell>
        </row>
        <row r="16">
          <cell r="E16">
            <v>13736.66</v>
          </cell>
          <cell r="F16">
            <v>13736.66</v>
          </cell>
          <cell r="G16">
            <v>14486.66</v>
          </cell>
          <cell r="H16">
            <v>13686.66</v>
          </cell>
          <cell r="I16">
            <v>13686.66</v>
          </cell>
          <cell r="J16">
            <v>13686.66</v>
          </cell>
          <cell r="K16">
            <v>13736.66</v>
          </cell>
          <cell r="L16">
            <v>13736.66</v>
          </cell>
          <cell r="M16">
            <v>13736.66</v>
          </cell>
          <cell r="N16">
            <v>13736.66</v>
          </cell>
          <cell r="O16">
            <v>13736.66</v>
          </cell>
          <cell r="P16">
            <v>13736.66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5000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0</v>
          </cell>
          <cell r="M19">
            <v>15000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5000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125</v>
          </cell>
          <cell r="F25">
            <v>125</v>
          </cell>
          <cell r="G25">
            <v>235</v>
          </cell>
          <cell r="H25">
            <v>125</v>
          </cell>
          <cell r="I25">
            <v>125</v>
          </cell>
          <cell r="J25">
            <v>125</v>
          </cell>
          <cell r="K25">
            <v>125</v>
          </cell>
          <cell r="L25">
            <v>125</v>
          </cell>
          <cell r="M25">
            <v>125</v>
          </cell>
          <cell r="N25">
            <v>125</v>
          </cell>
          <cell r="O25">
            <v>125</v>
          </cell>
          <cell r="P25">
            <v>125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350</v>
          </cell>
          <cell r="F27">
            <v>350</v>
          </cell>
          <cell r="G27">
            <v>460</v>
          </cell>
          <cell r="H27">
            <v>350</v>
          </cell>
          <cell r="I27">
            <v>350</v>
          </cell>
          <cell r="J27">
            <v>890</v>
          </cell>
          <cell r="K27">
            <v>350</v>
          </cell>
          <cell r="L27">
            <v>350</v>
          </cell>
          <cell r="M27">
            <v>500</v>
          </cell>
          <cell r="N27">
            <v>350</v>
          </cell>
          <cell r="O27">
            <v>350</v>
          </cell>
          <cell r="P27">
            <v>350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1000</v>
          </cell>
          <cell r="G33">
            <v>0</v>
          </cell>
          <cell r="H33">
            <v>0</v>
          </cell>
          <cell r="I33">
            <v>1000</v>
          </cell>
          <cell r="J33">
            <v>0</v>
          </cell>
          <cell r="K33">
            <v>0</v>
          </cell>
          <cell r="L33">
            <v>1000</v>
          </cell>
          <cell r="M33">
            <v>0</v>
          </cell>
          <cell r="N33">
            <v>0</v>
          </cell>
          <cell r="O33">
            <v>1000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7">
          <cell r="E37">
            <v>678.56571428571431</v>
          </cell>
          <cell r="F37">
            <v>678.56571428571431</v>
          </cell>
          <cell r="G37">
            <v>633.32799999999997</v>
          </cell>
          <cell r="H37">
            <v>633.32799999999997</v>
          </cell>
          <cell r="I37">
            <v>593.745</v>
          </cell>
          <cell r="J37">
            <v>593.745</v>
          </cell>
          <cell r="K37">
            <v>593.745</v>
          </cell>
          <cell r="L37">
            <v>558.81882352941182</v>
          </cell>
          <cell r="M37">
            <v>527.77333333333331</v>
          </cell>
          <cell r="N37">
            <v>527.77333333333331</v>
          </cell>
          <cell r="O37">
            <v>545.97222222222217</v>
          </cell>
          <cell r="P37">
            <v>545.97222222222217</v>
          </cell>
        </row>
        <row r="38">
          <cell r="E38">
            <v>100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100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150</v>
          </cell>
          <cell r="F40">
            <v>150</v>
          </cell>
          <cell r="G40">
            <v>150</v>
          </cell>
          <cell r="H40">
            <v>150</v>
          </cell>
          <cell r="I40">
            <v>150</v>
          </cell>
          <cell r="J40">
            <v>150</v>
          </cell>
          <cell r="K40">
            <v>150</v>
          </cell>
          <cell r="L40">
            <v>150</v>
          </cell>
          <cell r="M40">
            <v>150</v>
          </cell>
          <cell r="N40">
            <v>150</v>
          </cell>
          <cell r="O40">
            <v>150</v>
          </cell>
          <cell r="P40">
            <v>150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675</v>
          </cell>
          <cell r="F47">
            <v>675</v>
          </cell>
          <cell r="G47">
            <v>675</v>
          </cell>
          <cell r="H47">
            <v>675</v>
          </cell>
          <cell r="I47">
            <v>675</v>
          </cell>
          <cell r="J47">
            <v>675</v>
          </cell>
          <cell r="K47">
            <v>675</v>
          </cell>
          <cell r="L47">
            <v>675</v>
          </cell>
          <cell r="M47">
            <v>675</v>
          </cell>
          <cell r="N47">
            <v>675</v>
          </cell>
          <cell r="O47">
            <v>675</v>
          </cell>
          <cell r="P47">
            <v>675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1">
          <cell r="E51">
            <v>92</v>
          </cell>
          <cell r="F51">
            <v>92</v>
          </cell>
          <cell r="G51">
            <v>92</v>
          </cell>
          <cell r="H51">
            <v>92</v>
          </cell>
          <cell r="I51">
            <v>92</v>
          </cell>
          <cell r="J51">
            <v>92</v>
          </cell>
          <cell r="K51">
            <v>92</v>
          </cell>
          <cell r="L51">
            <v>92</v>
          </cell>
          <cell r="M51">
            <v>92</v>
          </cell>
          <cell r="N51">
            <v>92</v>
          </cell>
          <cell r="O51">
            <v>92</v>
          </cell>
          <cell r="P51">
            <v>92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E60">
            <v>11300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E61">
            <v>2500</v>
          </cell>
          <cell r="F61">
            <v>2500</v>
          </cell>
          <cell r="G61">
            <v>2500</v>
          </cell>
          <cell r="H61">
            <v>2500</v>
          </cell>
          <cell r="I61">
            <v>2500</v>
          </cell>
          <cell r="J61">
            <v>2500</v>
          </cell>
          <cell r="K61">
            <v>2500</v>
          </cell>
          <cell r="L61">
            <v>2500</v>
          </cell>
          <cell r="M61">
            <v>2500</v>
          </cell>
          <cell r="N61">
            <v>2500</v>
          </cell>
          <cell r="O61">
            <v>2500</v>
          </cell>
          <cell r="P61">
            <v>2500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4">
          <cell r="E74">
            <v>25</v>
          </cell>
          <cell r="F74">
            <v>25</v>
          </cell>
          <cell r="G74">
            <v>25</v>
          </cell>
          <cell r="H74">
            <v>25</v>
          </cell>
          <cell r="I74">
            <v>25</v>
          </cell>
          <cell r="J74">
            <v>25</v>
          </cell>
          <cell r="K74">
            <v>25</v>
          </cell>
          <cell r="L74">
            <v>25</v>
          </cell>
          <cell r="M74">
            <v>25</v>
          </cell>
          <cell r="N74">
            <v>25</v>
          </cell>
          <cell r="O74">
            <v>25</v>
          </cell>
          <cell r="P74">
            <v>25</v>
          </cell>
        </row>
        <row r="75">
          <cell r="E75">
            <v>11</v>
          </cell>
          <cell r="F75">
            <v>11</v>
          </cell>
          <cell r="G75">
            <v>11</v>
          </cell>
          <cell r="H75">
            <v>11</v>
          </cell>
          <cell r="I75">
            <v>11</v>
          </cell>
          <cell r="J75">
            <v>11</v>
          </cell>
          <cell r="K75">
            <v>11</v>
          </cell>
          <cell r="L75">
            <v>11</v>
          </cell>
          <cell r="M75">
            <v>11</v>
          </cell>
          <cell r="N75">
            <v>11</v>
          </cell>
          <cell r="O75">
            <v>11</v>
          </cell>
          <cell r="P75">
            <v>11</v>
          </cell>
        </row>
        <row r="76">
          <cell r="E76">
            <v>27</v>
          </cell>
          <cell r="F76">
            <v>27</v>
          </cell>
          <cell r="G76">
            <v>27</v>
          </cell>
          <cell r="H76">
            <v>27</v>
          </cell>
          <cell r="I76">
            <v>27</v>
          </cell>
          <cell r="J76">
            <v>27</v>
          </cell>
          <cell r="K76">
            <v>27</v>
          </cell>
          <cell r="L76">
            <v>27</v>
          </cell>
          <cell r="M76">
            <v>27</v>
          </cell>
          <cell r="N76">
            <v>27</v>
          </cell>
          <cell r="O76">
            <v>27</v>
          </cell>
          <cell r="P76">
            <v>27</v>
          </cell>
        </row>
        <row r="77">
          <cell r="E77">
            <v>14</v>
          </cell>
          <cell r="F77">
            <v>14</v>
          </cell>
          <cell r="G77">
            <v>14</v>
          </cell>
          <cell r="H77">
            <v>14</v>
          </cell>
          <cell r="I77">
            <v>14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80">
          <cell r="Q80">
            <v>346397.81236321194</v>
          </cell>
        </row>
        <row r="82"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</sheetData>
      <sheetData sheetId="7">
        <row r="6">
          <cell r="E6">
            <v>68149.423076923078</v>
          </cell>
          <cell r="F6">
            <v>50649.423076923078</v>
          </cell>
          <cell r="G6">
            <v>50649.423076923078</v>
          </cell>
          <cell r="H6">
            <v>50649.423076923078</v>
          </cell>
          <cell r="I6">
            <v>50649.423076923078</v>
          </cell>
          <cell r="J6">
            <v>50649.423076923078</v>
          </cell>
          <cell r="K6">
            <v>52405.123076923082</v>
          </cell>
          <cell r="L6">
            <v>52405.123076923082</v>
          </cell>
          <cell r="M6">
            <v>52405.123076923082</v>
          </cell>
          <cell r="N6">
            <v>52405.123076923082</v>
          </cell>
          <cell r="O6">
            <v>52405.123076923082</v>
          </cell>
          <cell r="P6">
            <v>52405.123076923082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1000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3210.7799999999997</v>
          </cell>
          <cell r="F12">
            <v>3210.7799999999997</v>
          </cell>
          <cell r="G12">
            <v>3210.7799999999997</v>
          </cell>
          <cell r="H12">
            <v>3210.7799999999997</v>
          </cell>
          <cell r="I12">
            <v>3210.7799999999997</v>
          </cell>
          <cell r="J12">
            <v>3660.7799999999997</v>
          </cell>
          <cell r="K12">
            <v>3930.7800000000007</v>
          </cell>
          <cell r="L12">
            <v>3930.7800000000007</v>
          </cell>
          <cell r="M12">
            <v>3930.7800000000007</v>
          </cell>
          <cell r="N12">
            <v>3930.7800000000007</v>
          </cell>
          <cell r="O12">
            <v>3930.7800000000007</v>
          </cell>
          <cell r="P12">
            <v>3930.7800000000007</v>
          </cell>
        </row>
        <row r="13">
          <cell r="E13">
            <v>200</v>
          </cell>
          <cell r="F13">
            <v>150</v>
          </cell>
          <cell r="G13">
            <v>150</v>
          </cell>
          <cell r="H13">
            <v>150</v>
          </cell>
          <cell r="I13">
            <v>150</v>
          </cell>
          <cell r="J13">
            <v>150</v>
          </cell>
          <cell r="K13">
            <v>150</v>
          </cell>
          <cell r="L13">
            <v>150</v>
          </cell>
          <cell r="M13">
            <v>150</v>
          </cell>
          <cell r="N13">
            <v>150</v>
          </cell>
          <cell r="O13">
            <v>150</v>
          </cell>
          <cell r="P13">
            <v>150</v>
          </cell>
        </row>
        <row r="14">
          <cell r="E14">
            <v>4770.459615384616</v>
          </cell>
          <cell r="F14">
            <v>3545.459615384616</v>
          </cell>
          <cell r="G14">
            <v>3545.459615384616</v>
          </cell>
          <cell r="H14">
            <v>3545.459615384616</v>
          </cell>
          <cell r="I14">
            <v>3545.459615384616</v>
          </cell>
          <cell r="J14">
            <v>3545.459615384616</v>
          </cell>
          <cell r="K14">
            <v>3668.3586153846163</v>
          </cell>
          <cell r="L14">
            <v>3668.3586153846163</v>
          </cell>
          <cell r="M14">
            <v>3668.3586153846163</v>
          </cell>
          <cell r="N14">
            <v>3668.3586153846163</v>
          </cell>
          <cell r="O14">
            <v>3668.3586153846163</v>
          </cell>
          <cell r="P14">
            <v>3668.3586153846163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E30">
            <v>500</v>
          </cell>
          <cell r="F30">
            <v>500</v>
          </cell>
          <cell r="G30">
            <v>500</v>
          </cell>
          <cell r="H30">
            <v>500</v>
          </cell>
          <cell r="I30">
            <v>500</v>
          </cell>
          <cell r="J30">
            <v>500</v>
          </cell>
          <cell r="K30">
            <v>500</v>
          </cell>
          <cell r="L30">
            <v>500</v>
          </cell>
          <cell r="M30">
            <v>500</v>
          </cell>
          <cell r="N30">
            <v>500</v>
          </cell>
          <cell r="O30">
            <v>500</v>
          </cell>
          <cell r="P30">
            <v>500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5">
          <cell r="E35">
            <v>1250</v>
          </cell>
          <cell r="F35">
            <v>1250</v>
          </cell>
          <cell r="G35">
            <v>1250</v>
          </cell>
          <cell r="H35">
            <v>1250</v>
          </cell>
          <cell r="I35">
            <v>1250</v>
          </cell>
          <cell r="J35">
            <v>1250</v>
          </cell>
          <cell r="K35">
            <v>1250</v>
          </cell>
          <cell r="L35">
            <v>1250</v>
          </cell>
          <cell r="M35">
            <v>1250</v>
          </cell>
          <cell r="N35">
            <v>1250</v>
          </cell>
          <cell r="O35">
            <v>1250</v>
          </cell>
          <cell r="P35">
            <v>1250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2">
          <cell r="E42">
            <v>4749.96</v>
          </cell>
          <cell r="F42">
            <v>4749.96</v>
          </cell>
          <cell r="G42">
            <v>5066.6239999999998</v>
          </cell>
          <cell r="H42">
            <v>5066.6239999999998</v>
          </cell>
          <cell r="I42">
            <v>5343.7049999999999</v>
          </cell>
          <cell r="J42">
            <v>5343.7049999999999</v>
          </cell>
          <cell r="K42">
            <v>5343.7049999999999</v>
          </cell>
          <cell r="L42">
            <v>5588.1882352941184</v>
          </cell>
          <cell r="M42">
            <v>5588.1882352941184</v>
          </cell>
          <cell r="N42">
            <v>5588.1882352941184</v>
          </cell>
          <cell r="O42">
            <v>5780.8823529411766</v>
          </cell>
          <cell r="P42">
            <v>5780.8823529411766</v>
          </cell>
        </row>
        <row r="43">
          <cell r="E43">
            <v>240</v>
          </cell>
          <cell r="F43">
            <v>180</v>
          </cell>
          <cell r="G43">
            <v>180</v>
          </cell>
          <cell r="H43">
            <v>180</v>
          </cell>
          <cell r="I43">
            <v>180</v>
          </cell>
          <cell r="J43">
            <v>180</v>
          </cell>
          <cell r="K43">
            <v>180</v>
          </cell>
          <cell r="L43">
            <v>180</v>
          </cell>
          <cell r="M43">
            <v>180</v>
          </cell>
          <cell r="N43">
            <v>180</v>
          </cell>
          <cell r="O43">
            <v>180</v>
          </cell>
          <cell r="P43">
            <v>180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E45">
            <v>848</v>
          </cell>
          <cell r="F45">
            <v>636</v>
          </cell>
          <cell r="G45">
            <v>636</v>
          </cell>
          <cell r="H45">
            <v>636</v>
          </cell>
          <cell r="I45">
            <v>636</v>
          </cell>
          <cell r="J45">
            <v>636</v>
          </cell>
          <cell r="K45">
            <v>636</v>
          </cell>
          <cell r="L45">
            <v>636</v>
          </cell>
          <cell r="M45">
            <v>636</v>
          </cell>
          <cell r="N45">
            <v>636</v>
          </cell>
          <cell r="O45">
            <v>636</v>
          </cell>
          <cell r="P45">
            <v>636</v>
          </cell>
        </row>
        <row r="46">
          <cell r="E46">
            <v>50</v>
          </cell>
          <cell r="F46">
            <v>50</v>
          </cell>
          <cell r="G46">
            <v>50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6">
          <cell r="E56">
            <v>750</v>
          </cell>
          <cell r="F56">
            <v>750</v>
          </cell>
          <cell r="G56">
            <v>750</v>
          </cell>
          <cell r="H56">
            <v>750</v>
          </cell>
          <cell r="I56">
            <v>900</v>
          </cell>
          <cell r="J56">
            <v>900</v>
          </cell>
          <cell r="K56">
            <v>900</v>
          </cell>
          <cell r="L56">
            <v>900</v>
          </cell>
          <cell r="M56">
            <v>900</v>
          </cell>
          <cell r="N56">
            <v>900</v>
          </cell>
          <cell r="O56">
            <v>900</v>
          </cell>
          <cell r="P56">
            <v>900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E63">
            <v>250</v>
          </cell>
          <cell r="F63">
            <v>250</v>
          </cell>
          <cell r="G63">
            <v>250</v>
          </cell>
          <cell r="H63">
            <v>250</v>
          </cell>
          <cell r="I63">
            <v>250</v>
          </cell>
          <cell r="J63">
            <v>250</v>
          </cell>
          <cell r="K63">
            <v>250</v>
          </cell>
          <cell r="L63">
            <v>250</v>
          </cell>
          <cell r="M63">
            <v>250</v>
          </cell>
          <cell r="N63">
            <v>250</v>
          </cell>
          <cell r="O63">
            <v>250</v>
          </cell>
          <cell r="P63">
            <v>250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15000</v>
          </cell>
          <cell r="M65">
            <v>15000</v>
          </cell>
          <cell r="N65">
            <v>15000</v>
          </cell>
          <cell r="O65">
            <v>22500</v>
          </cell>
          <cell r="P65">
            <v>22500</v>
          </cell>
        </row>
        <row r="66">
          <cell r="E66">
            <v>15000</v>
          </cell>
          <cell r="F66">
            <v>15000</v>
          </cell>
          <cell r="G66">
            <v>21974.444444444445</v>
          </cell>
          <cell r="H66">
            <v>33667.777777777781</v>
          </cell>
          <cell r="I66">
            <v>25252.222222222223</v>
          </cell>
          <cell r="J66">
            <v>38954.444444444445</v>
          </cell>
          <cell r="K66">
            <v>29847.777777777777</v>
          </cell>
          <cell r="L66">
            <v>42541.111111111109</v>
          </cell>
          <cell r="M66">
            <v>34052.222222222219</v>
          </cell>
          <cell r="N66">
            <v>47290</v>
          </cell>
          <cell r="O66">
            <v>37877.777777777781</v>
          </cell>
          <cell r="P66">
            <v>51188.888888888891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10000</v>
          </cell>
          <cell r="J67">
            <v>0</v>
          </cell>
          <cell r="K67">
            <v>0</v>
          </cell>
          <cell r="L67">
            <v>0</v>
          </cell>
          <cell r="M67">
            <v>10000</v>
          </cell>
          <cell r="N67">
            <v>0</v>
          </cell>
          <cell r="O67">
            <v>0</v>
          </cell>
          <cell r="P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9">
          <cell r="E79">
            <v>196.69</v>
          </cell>
          <cell r="F79">
            <v>280.04333333333335</v>
          </cell>
          <cell r="G79">
            <v>418.93222222222221</v>
          </cell>
          <cell r="H79">
            <v>383.11222222222221</v>
          </cell>
          <cell r="I79">
            <v>383.11222222222221</v>
          </cell>
          <cell r="J79">
            <v>383.12222222222226</v>
          </cell>
          <cell r="K79">
            <v>284.57222222222225</v>
          </cell>
          <cell r="L79">
            <v>284.57222222222225</v>
          </cell>
          <cell r="M79">
            <v>423.46111111111111</v>
          </cell>
          <cell r="N79">
            <v>423.46111111111111</v>
          </cell>
          <cell r="O79">
            <v>423.46111111111111</v>
          </cell>
          <cell r="P79">
            <v>423.4711111111111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4">
          <cell r="Q84">
            <v>1353293.8364972346</v>
          </cell>
        </row>
        <row r="86">
          <cell r="E86">
            <v>7</v>
          </cell>
          <cell r="F86">
            <v>8</v>
          </cell>
          <cell r="G86">
            <v>8</v>
          </cell>
          <cell r="H86">
            <v>9</v>
          </cell>
          <cell r="I86">
            <v>9</v>
          </cell>
          <cell r="J86">
            <v>9</v>
          </cell>
          <cell r="K86">
            <v>10</v>
          </cell>
          <cell r="L86">
            <v>10</v>
          </cell>
          <cell r="M86">
            <v>10</v>
          </cell>
          <cell r="N86">
            <v>10</v>
          </cell>
          <cell r="O86">
            <v>10</v>
          </cell>
          <cell r="P86">
            <v>10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</sheetData>
      <sheetData sheetId="8"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9">
          <cell r="Q79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</sheetData>
      <sheetData sheetId="9">
        <row r="6">
          <cell r="E6">
            <v>39230</v>
          </cell>
          <cell r="F6">
            <v>39230</v>
          </cell>
          <cell r="G6">
            <v>39230</v>
          </cell>
          <cell r="H6">
            <v>39230</v>
          </cell>
          <cell r="I6">
            <v>39230</v>
          </cell>
          <cell r="J6">
            <v>39511.600000000006</v>
          </cell>
          <cell r="K6">
            <v>40268.26666666667</v>
          </cell>
          <cell r="L6">
            <v>40268.26666666667</v>
          </cell>
          <cell r="M6">
            <v>40268.26666666667</v>
          </cell>
          <cell r="N6">
            <v>40268.26666666667</v>
          </cell>
          <cell r="O6">
            <v>40268.26666666667</v>
          </cell>
          <cell r="P6">
            <v>40268.26666666667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350</v>
          </cell>
          <cell r="F9">
            <v>350</v>
          </cell>
          <cell r="G9">
            <v>350</v>
          </cell>
          <cell r="H9">
            <v>350</v>
          </cell>
          <cell r="I9">
            <v>350</v>
          </cell>
          <cell r="J9">
            <v>350</v>
          </cell>
          <cell r="K9">
            <v>350</v>
          </cell>
          <cell r="L9">
            <v>350</v>
          </cell>
          <cell r="M9">
            <v>350</v>
          </cell>
          <cell r="N9">
            <v>350</v>
          </cell>
          <cell r="O9">
            <v>350</v>
          </cell>
          <cell r="P9">
            <v>350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13541.710000000001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2200</v>
          </cell>
          <cell r="F12">
            <v>2200</v>
          </cell>
          <cell r="G12">
            <v>2200</v>
          </cell>
          <cell r="H12">
            <v>2200</v>
          </cell>
          <cell r="I12">
            <v>2200</v>
          </cell>
          <cell r="J12">
            <v>2200</v>
          </cell>
          <cell r="K12">
            <v>2354</v>
          </cell>
          <cell r="L12">
            <v>2354</v>
          </cell>
          <cell r="M12">
            <v>2354</v>
          </cell>
          <cell r="N12">
            <v>2354</v>
          </cell>
          <cell r="O12">
            <v>2354</v>
          </cell>
          <cell r="P12">
            <v>2354</v>
          </cell>
        </row>
        <row r="13">
          <cell r="E13">
            <v>115</v>
          </cell>
          <cell r="F13">
            <v>115</v>
          </cell>
          <cell r="G13">
            <v>115</v>
          </cell>
          <cell r="H13">
            <v>115</v>
          </cell>
          <cell r="I13">
            <v>115</v>
          </cell>
          <cell r="J13">
            <v>115</v>
          </cell>
          <cell r="K13">
            <v>115</v>
          </cell>
          <cell r="L13">
            <v>115</v>
          </cell>
          <cell r="M13">
            <v>115</v>
          </cell>
          <cell r="N13">
            <v>115</v>
          </cell>
          <cell r="O13">
            <v>115</v>
          </cell>
          <cell r="P13">
            <v>115</v>
          </cell>
        </row>
        <row r="14">
          <cell r="E14">
            <v>3138.4</v>
          </cell>
          <cell r="F14">
            <v>3138.4</v>
          </cell>
          <cell r="G14">
            <v>3138.4</v>
          </cell>
          <cell r="H14">
            <v>3138.4</v>
          </cell>
          <cell r="I14">
            <v>3138.4</v>
          </cell>
          <cell r="J14">
            <v>3160.9280000000003</v>
          </cell>
          <cell r="K14">
            <v>3221.4613333333336</v>
          </cell>
          <cell r="L14">
            <v>3221.4613333333336</v>
          </cell>
          <cell r="M14">
            <v>3221.4613333333336</v>
          </cell>
          <cell r="N14">
            <v>3221.4613333333336</v>
          </cell>
          <cell r="O14">
            <v>3221.4613333333336</v>
          </cell>
          <cell r="P14">
            <v>3221.4613333333336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>
            <v>900</v>
          </cell>
          <cell r="F25">
            <v>900</v>
          </cell>
          <cell r="G25">
            <v>900</v>
          </cell>
          <cell r="H25">
            <v>900</v>
          </cell>
          <cell r="I25">
            <v>900</v>
          </cell>
          <cell r="J25">
            <v>900</v>
          </cell>
          <cell r="K25">
            <v>900</v>
          </cell>
          <cell r="L25">
            <v>900</v>
          </cell>
          <cell r="M25">
            <v>900</v>
          </cell>
          <cell r="N25">
            <v>900</v>
          </cell>
          <cell r="O25">
            <v>900</v>
          </cell>
          <cell r="P25">
            <v>900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300</v>
          </cell>
          <cell r="F27">
            <v>300</v>
          </cell>
          <cell r="G27">
            <v>300</v>
          </cell>
          <cell r="H27">
            <v>300</v>
          </cell>
          <cell r="I27">
            <v>300</v>
          </cell>
          <cell r="J27">
            <v>300</v>
          </cell>
          <cell r="K27">
            <v>300</v>
          </cell>
          <cell r="L27">
            <v>300</v>
          </cell>
          <cell r="M27">
            <v>300</v>
          </cell>
          <cell r="N27">
            <v>300</v>
          </cell>
          <cell r="O27">
            <v>300</v>
          </cell>
          <cell r="P27">
            <v>300</v>
          </cell>
        </row>
        <row r="30">
          <cell r="E30">
            <v>0</v>
          </cell>
          <cell r="F30">
            <v>0</v>
          </cell>
          <cell r="G30">
            <v>1200</v>
          </cell>
          <cell r="H30">
            <v>0</v>
          </cell>
          <cell r="I30">
            <v>0</v>
          </cell>
          <cell r="J30">
            <v>1200</v>
          </cell>
          <cell r="K30">
            <v>0</v>
          </cell>
          <cell r="L30">
            <v>0</v>
          </cell>
          <cell r="M30">
            <v>1200</v>
          </cell>
          <cell r="N30">
            <v>0</v>
          </cell>
          <cell r="O30">
            <v>0</v>
          </cell>
          <cell r="P30">
            <v>1200</v>
          </cell>
        </row>
        <row r="31">
          <cell r="E31">
            <v>0</v>
          </cell>
          <cell r="F31">
            <v>0</v>
          </cell>
          <cell r="G31">
            <v>575</v>
          </cell>
          <cell r="H31">
            <v>0</v>
          </cell>
          <cell r="I31">
            <v>0</v>
          </cell>
          <cell r="J31">
            <v>575</v>
          </cell>
          <cell r="K31">
            <v>0</v>
          </cell>
          <cell r="L31">
            <v>0</v>
          </cell>
          <cell r="M31">
            <v>575</v>
          </cell>
          <cell r="N31">
            <v>0</v>
          </cell>
          <cell r="O31">
            <v>0</v>
          </cell>
          <cell r="P31">
            <v>575</v>
          </cell>
        </row>
        <row r="32">
          <cell r="E32">
            <v>0</v>
          </cell>
          <cell r="F32">
            <v>0</v>
          </cell>
          <cell r="G32">
            <v>240</v>
          </cell>
          <cell r="H32">
            <v>0</v>
          </cell>
          <cell r="I32">
            <v>0</v>
          </cell>
          <cell r="J32">
            <v>240</v>
          </cell>
          <cell r="K32">
            <v>0</v>
          </cell>
          <cell r="L32">
            <v>0</v>
          </cell>
          <cell r="M32">
            <v>240</v>
          </cell>
          <cell r="N32">
            <v>0</v>
          </cell>
          <cell r="O32">
            <v>0</v>
          </cell>
          <cell r="P32">
            <v>240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225</v>
          </cell>
          <cell r="H34">
            <v>0</v>
          </cell>
          <cell r="I34">
            <v>0</v>
          </cell>
          <cell r="J34">
            <v>225</v>
          </cell>
          <cell r="K34">
            <v>0</v>
          </cell>
          <cell r="L34">
            <v>0</v>
          </cell>
          <cell r="M34">
            <v>225</v>
          </cell>
          <cell r="N34">
            <v>0</v>
          </cell>
          <cell r="O34">
            <v>0</v>
          </cell>
          <cell r="P34">
            <v>225</v>
          </cell>
        </row>
        <row r="37">
          <cell r="E37">
            <v>3392.8285714285716</v>
          </cell>
          <cell r="F37">
            <v>3392.8285714285716</v>
          </cell>
          <cell r="G37">
            <v>3166.64</v>
          </cell>
          <cell r="H37">
            <v>3166.64</v>
          </cell>
          <cell r="I37">
            <v>2968.7249999999999</v>
          </cell>
          <cell r="J37">
            <v>2968.7249999999999</v>
          </cell>
          <cell r="K37">
            <v>2968.7249999999999</v>
          </cell>
          <cell r="L37">
            <v>2794.0941176470592</v>
          </cell>
          <cell r="M37">
            <v>2794.0941176470592</v>
          </cell>
          <cell r="N37">
            <v>2794.0941176470592</v>
          </cell>
          <cell r="O37">
            <v>2890.4411764705883</v>
          </cell>
          <cell r="P37">
            <v>2890.4411764705883</v>
          </cell>
        </row>
        <row r="38">
          <cell r="E38">
            <v>175</v>
          </cell>
          <cell r="F38">
            <v>175</v>
          </cell>
          <cell r="G38">
            <v>175</v>
          </cell>
          <cell r="H38">
            <v>175</v>
          </cell>
          <cell r="I38">
            <v>175</v>
          </cell>
          <cell r="J38">
            <v>175</v>
          </cell>
          <cell r="K38">
            <v>175</v>
          </cell>
          <cell r="L38">
            <v>175</v>
          </cell>
          <cell r="M38">
            <v>175</v>
          </cell>
          <cell r="N38">
            <v>175</v>
          </cell>
          <cell r="O38">
            <v>175</v>
          </cell>
          <cell r="P38">
            <v>175</v>
          </cell>
        </row>
        <row r="39">
          <cell r="E39">
            <v>60</v>
          </cell>
          <cell r="F39">
            <v>60</v>
          </cell>
          <cell r="G39">
            <v>60</v>
          </cell>
          <cell r="H39">
            <v>60</v>
          </cell>
          <cell r="I39">
            <v>60</v>
          </cell>
          <cell r="J39">
            <v>60</v>
          </cell>
          <cell r="K39">
            <v>60</v>
          </cell>
          <cell r="L39">
            <v>60</v>
          </cell>
          <cell r="M39">
            <v>60</v>
          </cell>
          <cell r="N39">
            <v>60</v>
          </cell>
          <cell r="O39">
            <v>60</v>
          </cell>
          <cell r="P39">
            <v>60</v>
          </cell>
        </row>
        <row r="40">
          <cell r="E40">
            <v>400</v>
          </cell>
          <cell r="F40">
            <v>400</v>
          </cell>
          <cell r="G40">
            <v>400</v>
          </cell>
          <cell r="H40">
            <v>400</v>
          </cell>
          <cell r="I40">
            <v>400</v>
          </cell>
          <cell r="J40">
            <v>400</v>
          </cell>
          <cell r="K40">
            <v>400</v>
          </cell>
          <cell r="L40">
            <v>400</v>
          </cell>
          <cell r="M40">
            <v>400</v>
          </cell>
          <cell r="N40">
            <v>400</v>
          </cell>
          <cell r="O40">
            <v>400</v>
          </cell>
          <cell r="P40">
            <v>400</v>
          </cell>
        </row>
        <row r="41">
          <cell r="E41">
            <v>80</v>
          </cell>
          <cell r="F41">
            <v>80</v>
          </cell>
          <cell r="G41">
            <v>80</v>
          </cell>
          <cell r="H41">
            <v>80</v>
          </cell>
          <cell r="I41">
            <v>80</v>
          </cell>
          <cell r="J41">
            <v>80</v>
          </cell>
          <cell r="K41">
            <v>80</v>
          </cell>
          <cell r="L41">
            <v>80</v>
          </cell>
          <cell r="M41">
            <v>80</v>
          </cell>
          <cell r="N41">
            <v>80</v>
          </cell>
          <cell r="O41">
            <v>80</v>
          </cell>
          <cell r="P41">
            <v>80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E46">
            <v>2390</v>
          </cell>
          <cell r="F46">
            <v>2390</v>
          </cell>
          <cell r="G46">
            <v>2390</v>
          </cell>
          <cell r="H46">
            <v>2390</v>
          </cell>
          <cell r="I46">
            <v>2390</v>
          </cell>
          <cell r="J46">
            <v>2390</v>
          </cell>
          <cell r="K46">
            <v>2390</v>
          </cell>
          <cell r="L46">
            <v>2390</v>
          </cell>
          <cell r="M46">
            <v>2390</v>
          </cell>
          <cell r="N46">
            <v>2390</v>
          </cell>
          <cell r="O46">
            <v>2390</v>
          </cell>
          <cell r="P46">
            <v>2390</v>
          </cell>
        </row>
        <row r="47">
          <cell r="E47">
            <v>1510.43</v>
          </cell>
          <cell r="F47">
            <v>1510.43</v>
          </cell>
          <cell r="G47">
            <v>1510.43</v>
          </cell>
          <cell r="H47">
            <v>1510.43</v>
          </cell>
          <cell r="I47">
            <v>1510.43</v>
          </cell>
          <cell r="J47">
            <v>1510.43</v>
          </cell>
          <cell r="K47">
            <v>1510.43</v>
          </cell>
          <cell r="L47">
            <v>1510.43</v>
          </cell>
          <cell r="M47">
            <v>1510.43</v>
          </cell>
          <cell r="N47">
            <v>1510.43</v>
          </cell>
          <cell r="O47">
            <v>1510.43</v>
          </cell>
          <cell r="P47">
            <v>1510.43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1">
          <cell r="E51">
            <v>552.94499999999994</v>
          </cell>
          <cell r="F51">
            <v>552.94499999999994</v>
          </cell>
          <cell r="G51">
            <v>552.94499999999994</v>
          </cell>
          <cell r="H51">
            <v>552.94499999999994</v>
          </cell>
          <cell r="I51">
            <v>552.94499999999994</v>
          </cell>
          <cell r="J51">
            <v>557.1690000000001</v>
          </cell>
          <cell r="K51">
            <v>568.51900000000001</v>
          </cell>
          <cell r="L51">
            <v>568.51900000000001</v>
          </cell>
          <cell r="M51">
            <v>568.51900000000001</v>
          </cell>
          <cell r="N51">
            <v>568.51900000000001</v>
          </cell>
          <cell r="O51">
            <v>568.51900000000001</v>
          </cell>
          <cell r="P51">
            <v>568.51900000000001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E60">
            <v>3990</v>
          </cell>
          <cell r="F60">
            <v>3990</v>
          </cell>
          <cell r="G60">
            <v>6990</v>
          </cell>
          <cell r="H60">
            <v>6990</v>
          </cell>
          <cell r="I60">
            <v>6990</v>
          </cell>
          <cell r="J60">
            <v>6990</v>
          </cell>
          <cell r="K60">
            <v>6990</v>
          </cell>
          <cell r="L60">
            <v>6990</v>
          </cell>
          <cell r="M60">
            <v>6990</v>
          </cell>
          <cell r="N60">
            <v>3990</v>
          </cell>
          <cell r="O60">
            <v>3990</v>
          </cell>
          <cell r="P60">
            <v>3990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4000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E68">
            <v>1200</v>
          </cell>
          <cell r="F68">
            <v>1200</v>
          </cell>
          <cell r="G68">
            <v>1200</v>
          </cell>
          <cell r="H68">
            <v>1200</v>
          </cell>
          <cell r="I68">
            <v>1200</v>
          </cell>
          <cell r="J68">
            <v>1200</v>
          </cell>
          <cell r="K68">
            <v>1200</v>
          </cell>
          <cell r="L68">
            <v>1200</v>
          </cell>
          <cell r="M68">
            <v>1200</v>
          </cell>
          <cell r="N68">
            <v>1200</v>
          </cell>
          <cell r="O68">
            <v>1200</v>
          </cell>
          <cell r="P68">
            <v>1200</v>
          </cell>
        </row>
        <row r="69">
          <cell r="E69">
            <v>500</v>
          </cell>
          <cell r="F69">
            <v>2500</v>
          </cell>
          <cell r="G69">
            <v>2500</v>
          </cell>
          <cell r="H69">
            <v>2500</v>
          </cell>
          <cell r="I69">
            <v>2500</v>
          </cell>
          <cell r="J69">
            <v>2500</v>
          </cell>
          <cell r="K69">
            <v>2500</v>
          </cell>
          <cell r="L69">
            <v>2500</v>
          </cell>
          <cell r="M69">
            <v>2500</v>
          </cell>
          <cell r="N69">
            <v>2500</v>
          </cell>
          <cell r="O69">
            <v>2500</v>
          </cell>
          <cell r="P69">
            <v>2500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4">
          <cell r="E74">
            <v>1653.4166666666667</v>
          </cell>
          <cell r="F74">
            <v>1675.6388888888889</v>
          </cell>
          <cell r="G74">
            <v>1800.6388888888889</v>
          </cell>
          <cell r="H74">
            <v>2183.9722222222222</v>
          </cell>
          <cell r="I74">
            <v>2406.1944444444443</v>
          </cell>
          <cell r="J74">
            <v>2595.0833333333335</v>
          </cell>
          <cell r="K74">
            <v>2633.9722222222226</v>
          </cell>
          <cell r="L74">
            <v>2678.416666666667</v>
          </cell>
          <cell r="M74">
            <v>2711.75</v>
          </cell>
          <cell r="N74">
            <v>2733.9722222222226</v>
          </cell>
          <cell r="O74">
            <v>2733.9722222222226</v>
          </cell>
          <cell r="P74">
            <v>2756.1944444444443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9">
          <cell r="Q79">
            <v>830408.2730709617</v>
          </cell>
        </row>
        <row r="81">
          <cell r="E81">
            <v>4</v>
          </cell>
          <cell r="F81">
            <v>4</v>
          </cell>
          <cell r="G81">
            <v>4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4</v>
          </cell>
          <cell r="N81">
            <v>4</v>
          </cell>
          <cell r="O81">
            <v>4</v>
          </cell>
          <cell r="P81">
            <v>4</v>
          </cell>
        </row>
        <row r="82"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</row>
      </sheetData>
      <sheetData sheetId="10">
        <row r="6">
          <cell r="E6">
            <v>17500</v>
          </cell>
          <cell r="F6">
            <v>17500</v>
          </cell>
          <cell r="G6">
            <v>17500</v>
          </cell>
          <cell r="H6">
            <v>17500</v>
          </cell>
          <cell r="I6">
            <v>17500</v>
          </cell>
          <cell r="J6">
            <v>17500</v>
          </cell>
          <cell r="K6">
            <v>17500</v>
          </cell>
          <cell r="L6">
            <v>17500</v>
          </cell>
          <cell r="M6">
            <v>17500</v>
          </cell>
          <cell r="N6">
            <v>17500</v>
          </cell>
          <cell r="O6">
            <v>17500</v>
          </cell>
          <cell r="P6">
            <v>17500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>
            <v>750</v>
          </cell>
          <cell r="F9">
            <v>750</v>
          </cell>
          <cell r="G9">
            <v>750</v>
          </cell>
          <cell r="H9">
            <v>750</v>
          </cell>
          <cell r="I9">
            <v>750</v>
          </cell>
          <cell r="J9">
            <v>750</v>
          </cell>
          <cell r="K9">
            <v>750</v>
          </cell>
          <cell r="L9">
            <v>750</v>
          </cell>
          <cell r="M9">
            <v>750</v>
          </cell>
          <cell r="N9">
            <v>750</v>
          </cell>
          <cell r="O9">
            <v>750</v>
          </cell>
          <cell r="P9">
            <v>750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E12">
            <v>1713</v>
          </cell>
          <cell r="F12">
            <v>1713</v>
          </cell>
          <cell r="G12">
            <v>1713</v>
          </cell>
          <cell r="H12">
            <v>1713</v>
          </cell>
          <cell r="I12">
            <v>1713</v>
          </cell>
          <cell r="J12">
            <v>1713</v>
          </cell>
          <cell r="K12">
            <v>1918.5600000000002</v>
          </cell>
          <cell r="L12">
            <v>1918.5600000000002</v>
          </cell>
          <cell r="M12">
            <v>1918.5600000000002</v>
          </cell>
          <cell r="N12">
            <v>1918.5600000000002</v>
          </cell>
          <cell r="O12">
            <v>1918.5600000000002</v>
          </cell>
          <cell r="P12">
            <v>1918.5600000000002</v>
          </cell>
        </row>
        <row r="13">
          <cell r="E13">
            <v>60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  <cell r="N13">
            <v>60</v>
          </cell>
          <cell r="O13">
            <v>60</v>
          </cell>
          <cell r="P13">
            <v>60</v>
          </cell>
        </row>
        <row r="14">
          <cell r="E14">
            <v>350</v>
          </cell>
          <cell r="F14">
            <v>350</v>
          </cell>
          <cell r="G14">
            <v>350</v>
          </cell>
          <cell r="H14">
            <v>350</v>
          </cell>
          <cell r="I14">
            <v>350</v>
          </cell>
          <cell r="J14">
            <v>1400</v>
          </cell>
          <cell r="K14">
            <v>1400</v>
          </cell>
          <cell r="L14">
            <v>1400</v>
          </cell>
          <cell r="M14">
            <v>1400</v>
          </cell>
          <cell r="N14">
            <v>1400</v>
          </cell>
          <cell r="O14">
            <v>1225.0000000000002</v>
          </cell>
          <cell r="P14">
            <v>350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  <cell r="O24">
            <v>100</v>
          </cell>
          <cell r="P24">
            <v>100</v>
          </cell>
        </row>
        <row r="25">
          <cell r="E25">
            <v>500</v>
          </cell>
          <cell r="F25">
            <v>500</v>
          </cell>
          <cell r="G25">
            <v>500</v>
          </cell>
          <cell r="H25">
            <v>500</v>
          </cell>
          <cell r="I25">
            <v>500</v>
          </cell>
          <cell r="J25">
            <v>500</v>
          </cell>
          <cell r="K25">
            <v>500</v>
          </cell>
          <cell r="L25">
            <v>500</v>
          </cell>
          <cell r="M25">
            <v>500</v>
          </cell>
          <cell r="N25">
            <v>500</v>
          </cell>
          <cell r="O25">
            <v>500</v>
          </cell>
          <cell r="P25">
            <v>500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30">
          <cell r="E30">
            <v>0</v>
          </cell>
          <cell r="F30">
            <v>2500</v>
          </cell>
          <cell r="G30">
            <v>2500</v>
          </cell>
          <cell r="H30">
            <v>2500</v>
          </cell>
          <cell r="I30">
            <v>2500</v>
          </cell>
          <cell r="J30">
            <v>2500</v>
          </cell>
          <cell r="K30">
            <v>2500</v>
          </cell>
          <cell r="L30">
            <v>2500</v>
          </cell>
          <cell r="M30">
            <v>2500</v>
          </cell>
          <cell r="N30">
            <v>2500</v>
          </cell>
          <cell r="O30">
            <v>2500</v>
          </cell>
          <cell r="P30">
            <v>2500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7">
          <cell r="E37">
            <v>678.56571428571431</v>
          </cell>
          <cell r="F37">
            <v>678.56571428571431</v>
          </cell>
          <cell r="G37">
            <v>633.32799999999997</v>
          </cell>
          <cell r="H37">
            <v>633.32799999999997</v>
          </cell>
          <cell r="I37">
            <v>593.745</v>
          </cell>
          <cell r="J37">
            <v>593.745</v>
          </cell>
          <cell r="K37">
            <v>593.745</v>
          </cell>
          <cell r="L37">
            <v>558.81882352941182</v>
          </cell>
          <cell r="M37">
            <v>558.81882352941182</v>
          </cell>
          <cell r="N37">
            <v>558.81882352941182</v>
          </cell>
          <cell r="O37">
            <v>578.08823529411768</v>
          </cell>
          <cell r="P37">
            <v>578.08823529411768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280</v>
          </cell>
          <cell r="F39">
            <v>280</v>
          </cell>
          <cell r="G39">
            <v>280</v>
          </cell>
          <cell r="H39">
            <v>280</v>
          </cell>
          <cell r="I39">
            <v>280</v>
          </cell>
          <cell r="J39">
            <v>280</v>
          </cell>
          <cell r="K39">
            <v>280</v>
          </cell>
          <cell r="L39">
            <v>280</v>
          </cell>
          <cell r="M39">
            <v>280</v>
          </cell>
          <cell r="N39">
            <v>280</v>
          </cell>
          <cell r="O39">
            <v>280</v>
          </cell>
          <cell r="P39">
            <v>280</v>
          </cell>
        </row>
        <row r="40">
          <cell r="E40">
            <v>90</v>
          </cell>
          <cell r="F40">
            <v>90</v>
          </cell>
          <cell r="G40">
            <v>90</v>
          </cell>
          <cell r="H40">
            <v>90</v>
          </cell>
          <cell r="I40">
            <v>90</v>
          </cell>
          <cell r="J40">
            <v>90</v>
          </cell>
          <cell r="K40">
            <v>90</v>
          </cell>
          <cell r="L40">
            <v>90</v>
          </cell>
          <cell r="M40">
            <v>90</v>
          </cell>
          <cell r="N40">
            <v>90</v>
          </cell>
          <cell r="O40">
            <v>90</v>
          </cell>
          <cell r="P40">
            <v>90</v>
          </cell>
        </row>
        <row r="41">
          <cell r="E41">
            <v>200</v>
          </cell>
          <cell r="F41">
            <v>200</v>
          </cell>
          <cell r="G41">
            <v>200</v>
          </cell>
          <cell r="H41">
            <v>200</v>
          </cell>
          <cell r="I41">
            <v>200</v>
          </cell>
          <cell r="J41">
            <v>200</v>
          </cell>
          <cell r="K41">
            <v>200</v>
          </cell>
          <cell r="L41">
            <v>200</v>
          </cell>
          <cell r="M41">
            <v>200</v>
          </cell>
          <cell r="N41">
            <v>200</v>
          </cell>
          <cell r="O41">
            <v>200</v>
          </cell>
          <cell r="P41">
            <v>200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5">
          <cell r="E45">
            <v>106</v>
          </cell>
          <cell r="F45">
            <v>106</v>
          </cell>
          <cell r="G45">
            <v>106</v>
          </cell>
          <cell r="H45">
            <v>106</v>
          </cell>
          <cell r="I45">
            <v>106</v>
          </cell>
          <cell r="J45">
            <v>106</v>
          </cell>
          <cell r="K45">
            <v>106</v>
          </cell>
          <cell r="L45">
            <v>106</v>
          </cell>
          <cell r="M45">
            <v>106</v>
          </cell>
          <cell r="N45">
            <v>106</v>
          </cell>
          <cell r="O45">
            <v>106</v>
          </cell>
          <cell r="P45">
            <v>106</v>
          </cell>
        </row>
        <row r="46">
          <cell r="E46">
            <v>25</v>
          </cell>
          <cell r="F46">
            <v>25</v>
          </cell>
          <cell r="G46">
            <v>25</v>
          </cell>
          <cell r="H46">
            <v>25</v>
          </cell>
          <cell r="I46">
            <v>25</v>
          </cell>
          <cell r="J46">
            <v>25</v>
          </cell>
          <cell r="K46">
            <v>25</v>
          </cell>
          <cell r="L46">
            <v>25</v>
          </cell>
          <cell r="M46">
            <v>25</v>
          </cell>
          <cell r="N46">
            <v>25</v>
          </cell>
          <cell r="O46">
            <v>25</v>
          </cell>
          <cell r="P46">
            <v>25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1">
          <cell r="E51">
            <v>325</v>
          </cell>
          <cell r="F51">
            <v>325</v>
          </cell>
          <cell r="G51">
            <v>325</v>
          </cell>
          <cell r="H51">
            <v>325</v>
          </cell>
          <cell r="I51">
            <v>325</v>
          </cell>
          <cell r="J51">
            <v>325</v>
          </cell>
          <cell r="K51">
            <v>325</v>
          </cell>
          <cell r="L51">
            <v>325</v>
          </cell>
          <cell r="M51">
            <v>325</v>
          </cell>
          <cell r="N51">
            <v>325</v>
          </cell>
          <cell r="O51">
            <v>325</v>
          </cell>
          <cell r="P51">
            <v>325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1400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200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  <cell r="L53">
            <v>200</v>
          </cell>
          <cell r="M53">
            <v>200</v>
          </cell>
          <cell r="N53">
            <v>200</v>
          </cell>
          <cell r="O53">
            <v>200</v>
          </cell>
          <cell r="P53">
            <v>200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250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1800</v>
          </cell>
          <cell r="G58">
            <v>200</v>
          </cell>
          <cell r="H58">
            <v>0</v>
          </cell>
          <cell r="I58">
            <v>2000</v>
          </cell>
          <cell r="J58">
            <v>0</v>
          </cell>
          <cell r="K58">
            <v>0</v>
          </cell>
          <cell r="L58">
            <v>2000</v>
          </cell>
          <cell r="M58">
            <v>0</v>
          </cell>
          <cell r="N58">
            <v>0</v>
          </cell>
          <cell r="O58">
            <v>2200</v>
          </cell>
          <cell r="P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5000</v>
          </cell>
          <cell r="F62">
            <v>5000</v>
          </cell>
          <cell r="G62">
            <v>5000</v>
          </cell>
          <cell r="H62">
            <v>5000</v>
          </cell>
          <cell r="I62">
            <v>5000</v>
          </cell>
          <cell r="J62">
            <v>5000</v>
          </cell>
          <cell r="K62">
            <v>5000</v>
          </cell>
          <cell r="L62">
            <v>5000</v>
          </cell>
          <cell r="M62">
            <v>5000</v>
          </cell>
          <cell r="N62">
            <v>5000</v>
          </cell>
          <cell r="O62">
            <v>5000</v>
          </cell>
          <cell r="P62">
            <v>5000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7">
          <cell r="E67">
            <v>750</v>
          </cell>
          <cell r="F67">
            <v>750</v>
          </cell>
          <cell r="G67">
            <v>750</v>
          </cell>
          <cell r="H67">
            <v>750</v>
          </cell>
          <cell r="I67">
            <v>750</v>
          </cell>
          <cell r="J67">
            <v>750</v>
          </cell>
          <cell r="K67">
            <v>750</v>
          </cell>
          <cell r="L67">
            <v>750</v>
          </cell>
          <cell r="M67">
            <v>750</v>
          </cell>
          <cell r="N67">
            <v>750</v>
          </cell>
          <cell r="O67">
            <v>750</v>
          </cell>
          <cell r="P67">
            <v>750</v>
          </cell>
        </row>
        <row r="68">
          <cell r="E68">
            <v>750</v>
          </cell>
          <cell r="F68">
            <v>750</v>
          </cell>
          <cell r="G68">
            <v>750</v>
          </cell>
          <cell r="H68">
            <v>750</v>
          </cell>
          <cell r="I68">
            <v>750</v>
          </cell>
          <cell r="J68">
            <v>750</v>
          </cell>
          <cell r="K68">
            <v>750</v>
          </cell>
          <cell r="L68">
            <v>750</v>
          </cell>
          <cell r="M68">
            <v>750</v>
          </cell>
          <cell r="N68">
            <v>750</v>
          </cell>
          <cell r="O68">
            <v>750</v>
          </cell>
          <cell r="P68">
            <v>750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E70">
            <v>1300</v>
          </cell>
          <cell r="F70">
            <v>1300</v>
          </cell>
          <cell r="G70">
            <v>1300</v>
          </cell>
          <cell r="H70">
            <v>1300</v>
          </cell>
          <cell r="I70">
            <v>1300</v>
          </cell>
          <cell r="J70">
            <v>1300</v>
          </cell>
          <cell r="K70">
            <v>1300</v>
          </cell>
          <cell r="L70">
            <v>1300</v>
          </cell>
          <cell r="M70">
            <v>1300</v>
          </cell>
          <cell r="N70">
            <v>1300</v>
          </cell>
          <cell r="O70">
            <v>1300</v>
          </cell>
          <cell r="P70">
            <v>1300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4">
          <cell r="E74">
            <v>90</v>
          </cell>
          <cell r="F74">
            <v>90</v>
          </cell>
          <cell r="G74">
            <v>90</v>
          </cell>
          <cell r="H74">
            <v>90</v>
          </cell>
          <cell r="I74">
            <v>90</v>
          </cell>
          <cell r="J74">
            <v>90</v>
          </cell>
          <cell r="K74">
            <v>90</v>
          </cell>
          <cell r="L74">
            <v>90</v>
          </cell>
          <cell r="M74">
            <v>90</v>
          </cell>
          <cell r="N74">
            <v>90</v>
          </cell>
          <cell r="O74">
            <v>90</v>
          </cell>
          <cell r="P74">
            <v>90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9">
          <cell r="Q79">
            <v>413014.01536974788</v>
          </cell>
        </row>
        <row r="81"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</sheetData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P&amp;L "/>
      <sheetName val="R&amp;D May Comparison"/>
      <sheetName val="Headcount"/>
      <sheetName val="Capital Expenditures"/>
      <sheetName val="Notes"/>
    </sheetNames>
    <sheetDataSet>
      <sheetData sheetId="0" refreshError="1"/>
      <sheetData sheetId="1" refreshError="1"/>
      <sheetData sheetId="2" refreshError="1">
        <row r="9">
          <cell r="B9">
            <v>75970.916666666672</v>
          </cell>
        </row>
        <row r="10">
          <cell r="B10">
            <v>1731.4166666666667</v>
          </cell>
        </row>
        <row r="11">
          <cell r="B11">
            <v>-36.416666666666664</v>
          </cell>
        </row>
        <row r="12">
          <cell r="B12">
            <v>4963.916666666667</v>
          </cell>
        </row>
        <row r="13">
          <cell r="B13">
            <v>383</v>
          </cell>
        </row>
        <row r="14">
          <cell r="B14">
            <v>5945.166666666667</v>
          </cell>
        </row>
        <row r="21">
          <cell r="B21">
            <v>3350.1666666666665</v>
          </cell>
        </row>
        <row r="25">
          <cell r="B25">
            <v>5.583333333333333</v>
          </cell>
        </row>
        <row r="26">
          <cell r="B26">
            <v>68.583333333333329</v>
          </cell>
        </row>
        <row r="27">
          <cell r="B27">
            <v>615.25</v>
          </cell>
        </row>
        <row r="28">
          <cell r="B28">
            <v>99.75</v>
          </cell>
        </row>
        <row r="29">
          <cell r="B29">
            <v>3.3333333333333335</v>
          </cell>
        </row>
        <row r="33">
          <cell r="B33">
            <v>392.91666666666669</v>
          </cell>
        </row>
        <row r="34">
          <cell r="B34">
            <v>418.16666666666669</v>
          </cell>
        </row>
        <row r="35">
          <cell r="B35">
            <v>48.75</v>
          </cell>
        </row>
        <row r="36">
          <cell r="B36">
            <v>106.33333333333333</v>
          </cell>
        </row>
        <row r="40">
          <cell r="B40">
            <v>5231.166666666667</v>
          </cell>
        </row>
        <row r="41">
          <cell r="B41">
            <v>613.75</v>
          </cell>
        </row>
        <row r="42">
          <cell r="B42">
            <v>865.41666666666663</v>
          </cell>
        </row>
        <row r="43">
          <cell r="B43">
            <v>17.833333333333332</v>
          </cell>
        </row>
        <row r="47">
          <cell r="B47">
            <v>1498.1666666666667</v>
          </cell>
        </row>
        <row r="48">
          <cell r="B48">
            <v>316.75</v>
          </cell>
        </row>
        <row r="52">
          <cell r="B52">
            <v>1059.6666666666667</v>
          </cell>
        </row>
        <row r="56">
          <cell r="B56">
            <v>189.16666666666666</v>
          </cell>
        </row>
        <row r="57">
          <cell r="B57">
            <v>134.33333333333334</v>
          </cell>
        </row>
        <row r="58">
          <cell r="B58">
            <v>433.5</v>
          </cell>
        </row>
        <row r="59">
          <cell r="B59">
            <v>62.416666666666664</v>
          </cell>
        </row>
        <row r="65">
          <cell r="B65">
            <v>232.83333333333334</v>
          </cell>
        </row>
        <row r="66">
          <cell r="B66">
            <v>464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P&amp;L "/>
      <sheetName val="Sales May comparison"/>
      <sheetName val="Headcount"/>
      <sheetName val="Capital Expenditure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5"/>
  <sheetViews>
    <sheetView topLeftCell="A14" workbookViewId="0">
      <selection activeCell="A22" sqref="A22"/>
    </sheetView>
  </sheetViews>
  <sheetFormatPr defaultRowHeight="12.75"/>
  <cols>
    <col min="1" max="1" width="142.7109375" customWidth="1"/>
  </cols>
  <sheetData>
    <row r="1" spans="1:1" ht="15.75">
      <c r="A1" s="435" t="s">
        <v>336</v>
      </c>
    </row>
    <row r="2" spans="1:1" ht="18.75" customHeight="1">
      <c r="A2" s="434" t="s">
        <v>427</v>
      </c>
    </row>
    <row r="3" spans="1:1" ht="16.5" customHeight="1">
      <c r="A3" s="434" t="s">
        <v>428</v>
      </c>
    </row>
    <row r="4" spans="1:1" s="7" customFormat="1" ht="19.5" customHeight="1">
      <c r="A4" s="434" t="s">
        <v>429</v>
      </c>
    </row>
    <row r="5" spans="1:1" ht="24" customHeight="1">
      <c r="A5" s="434"/>
    </row>
    <row r="6" spans="1:1" ht="15.75">
      <c r="A6" s="224" t="s">
        <v>333</v>
      </c>
    </row>
    <row r="7" spans="1:1" ht="15">
      <c r="A7" s="434" t="s">
        <v>431</v>
      </c>
    </row>
    <row r="8" spans="1:1" ht="15">
      <c r="A8" s="434" t="s">
        <v>334</v>
      </c>
    </row>
    <row r="9" spans="1:1" ht="15">
      <c r="A9" s="434" t="s">
        <v>430</v>
      </c>
    </row>
    <row r="10" spans="1:1" ht="14.25" customHeight="1">
      <c r="A10" s="434"/>
    </row>
    <row r="11" spans="1:1" ht="15.75">
      <c r="A11" s="224" t="s">
        <v>432</v>
      </c>
    </row>
    <row r="12" spans="1:1" ht="15">
      <c r="A12" s="434" t="s">
        <v>337</v>
      </c>
    </row>
    <row r="13" spans="1:1" ht="15">
      <c r="A13" s="434"/>
    </row>
    <row r="14" spans="1:1" ht="16.5" thickBot="1">
      <c r="A14" s="571" t="s">
        <v>438</v>
      </c>
    </row>
    <row r="15" spans="1:1" ht="65.25" customHeight="1">
      <c r="A15" s="572" t="s">
        <v>437</v>
      </c>
    </row>
    <row r="16" spans="1:1" ht="16.5" customHeight="1">
      <c r="A16" s="434" t="s">
        <v>387</v>
      </c>
    </row>
    <row r="17" spans="1:1" ht="15">
      <c r="A17" s="434" t="s">
        <v>436</v>
      </c>
    </row>
    <row r="18" spans="1:1" ht="15">
      <c r="A18" s="434"/>
    </row>
    <row r="19" spans="1:1" ht="15.75">
      <c r="A19" s="224" t="s">
        <v>341</v>
      </c>
    </row>
    <row r="20" spans="1:1" ht="15">
      <c r="A20" s="434" t="s">
        <v>439</v>
      </c>
    </row>
    <row r="21" spans="1:1" ht="15">
      <c r="A21" s="434" t="s">
        <v>378</v>
      </c>
    </row>
    <row r="22" spans="1:1" ht="15">
      <c r="A22" s="434" t="s">
        <v>379</v>
      </c>
    </row>
    <row r="23" spans="1:1" ht="15">
      <c r="A23" s="434" t="s">
        <v>440</v>
      </c>
    </row>
    <row r="24" spans="1:1" ht="15">
      <c r="A24" s="434" t="s">
        <v>380</v>
      </c>
    </row>
    <row r="25" spans="1:1" ht="15">
      <c r="A25" s="434" t="s">
        <v>381</v>
      </c>
    </row>
    <row r="27" spans="1:1" ht="15">
      <c r="A27" s="434" t="s">
        <v>433</v>
      </c>
    </row>
    <row r="28" spans="1:1" ht="15">
      <c r="A28" s="434" t="s">
        <v>382</v>
      </c>
    </row>
    <row r="29" spans="1:1" ht="15">
      <c r="A29" s="434" t="s">
        <v>383</v>
      </c>
    </row>
    <row r="30" spans="1:1" ht="15">
      <c r="A30" s="434" t="s">
        <v>384</v>
      </c>
    </row>
    <row r="31" spans="1:1" ht="15">
      <c r="A31" s="434" t="s">
        <v>385</v>
      </c>
    </row>
    <row r="33" spans="1:1" ht="15">
      <c r="A33" s="434" t="s">
        <v>386</v>
      </c>
    </row>
    <row r="34" spans="1:1" ht="15">
      <c r="A34" s="434" t="s">
        <v>434</v>
      </c>
    </row>
    <row r="35" spans="1:1" ht="15">
      <c r="A35" s="434" t="s">
        <v>435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3"/>
  <sheetViews>
    <sheetView zoomScale="70" zoomScaleNormal="70" workbookViewId="0">
      <selection activeCell="C18" sqref="C18"/>
    </sheetView>
  </sheetViews>
  <sheetFormatPr defaultRowHeight="12.75"/>
  <cols>
    <col min="1" max="1" width="10.5703125" customWidth="1"/>
    <col min="2" max="2" width="14.28515625" customWidth="1"/>
    <col min="3" max="3" width="9.5703125" bestFit="1" customWidth="1"/>
    <col min="4" max="4" width="10.5703125" customWidth="1"/>
    <col min="5" max="9" width="10.140625" bestFit="1" customWidth="1"/>
    <col min="10" max="10" width="10.42578125" customWidth="1"/>
    <col min="11" max="12" width="10.5703125" customWidth="1"/>
    <col min="13" max="14" width="10.140625" bestFit="1" customWidth="1"/>
    <col min="15" max="15" width="11.28515625" customWidth="1"/>
    <col min="16" max="16" width="9.85546875" bestFit="1" customWidth="1"/>
    <col min="17" max="17" width="9.28515625" bestFit="1" customWidth="1"/>
  </cols>
  <sheetData>
    <row r="1" spans="1:17" ht="26.25" thickBot="1">
      <c r="C1" s="225" t="s">
        <v>67</v>
      </c>
      <c r="D1" s="222" t="s">
        <v>65</v>
      </c>
      <c r="E1" s="222" t="s">
        <v>68</v>
      </c>
      <c r="F1" s="225" t="s">
        <v>60</v>
      </c>
      <c r="G1" s="222" t="s">
        <v>61</v>
      </c>
      <c r="H1" s="222" t="s">
        <v>69</v>
      </c>
      <c r="I1" s="225" t="s">
        <v>62</v>
      </c>
      <c r="J1" s="222" t="s">
        <v>63</v>
      </c>
      <c r="K1" s="222" t="s">
        <v>91</v>
      </c>
      <c r="L1" s="225" t="s">
        <v>64</v>
      </c>
      <c r="M1" s="222" t="s">
        <v>80</v>
      </c>
      <c r="N1" s="222" t="s">
        <v>66</v>
      </c>
      <c r="O1" s="414" t="s">
        <v>321</v>
      </c>
      <c r="P1" s="438" t="s">
        <v>322</v>
      </c>
      <c r="Q1" s="442" t="s">
        <v>151</v>
      </c>
    </row>
    <row r="2" spans="1:17" ht="15.75">
      <c r="A2" s="224" t="s">
        <v>149</v>
      </c>
      <c r="C2" s="42"/>
      <c r="F2" s="42"/>
      <c r="I2" s="42"/>
      <c r="L2" s="42"/>
      <c r="O2" s="177"/>
      <c r="P2" s="439"/>
      <c r="Q2" s="380"/>
    </row>
    <row r="3" spans="1:17">
      <c r="B3" s="5" t="s">
        <v>147</v>
      </c>
      <c r="C3" s="226">
        <f>'New Bookings Forecast'!E72+'New Bookings Forecast'!E74</f>
        <v>431800</v>
      </c>
      <c r="D3" s="214">
        <f>'New Bookings Forecast'!F72+'New Bookings Forecast'!F74</f>
        <v>354200</v>
      </c>
      <c r="E3" s="214">
        <f>'New Bookings Forecast'!G72+'New Bookings Forecast'!G74</f>
        <v>250600</v>
      </c>
      <c r="F3" s="226">
        <f>'New Bookings Forecast'!H72+'New Bookings Forecast'!H74</f>
        <v>305200</v>
      </c>
      <c r="G3" s="214">
        <f>'New Bookings Forecast'!I72+'New Bookings Forecast'!I74</f>
        <v>129426</v>
      </c>
      <c r="H3" s="214">
        <f>'New Bookings Forecast'!J72+'New Bookings Forecast'!J74</f>
        <v>133500</v>
      </c>
      <c r="I3" s="226">
        <f>'New Bookings Forecast'!K72+'New Bookings Forecast'!K74</f>
        <v>181600</v>
      </c>
      <c r="J3" s="214">
        <f>'New Bookings Forecast'!L72+'New Bookings Forecast'!L74</f>
        <v>36000</v>
      </c>
      <c r="K3" s="214">
        <f>'New Bookings Forecast'!M72+'New Bookings Forecast'!M74</f>
        <v>615000</v>
      </c>
      <c r="L3" s="226">
        <f>'New Bookings Forecast'!N72+'New Bookings Forecast'!N74</f>
        <v>437600</v>
      </c>
      <c r="M3" s="214">
        <f>'New Bookings Forecast'!O72+'New Bookings Forecast'!O74</f>
        <v>199200</v>
      </c>
      <c r="N3" s="214">
        <f>'New Bookings Forecast'!P72+'New Bookings Forecast'!P74</f>
        <v>642985</v>
      </c>
      <c r="O3" s="415">
        <f>SUM(C3:N3)</f>
        <v>3717111</v>
      </c>
      <c r="P3" s="440">
        <v>1939952.91</v>
      </c>
      <c r="Q3" s="443">
        <f>(O3-P3)/P3</f>
        <v>0.91608310739872556</v>
      </c>
    </row>
    <row r="4" spans="1:17" ht="13.5" thickBot="1">
      <c r="B4" s="5" t="s">
        <v>148</v>
      </c>
      <c r="C4" s="227">
        <f>'New Bookings Forecast'!E73</f>
        <v>230000</v>
      </c>
      <c r="D4" s="223">
        <f>'New Bookings Forecast'!F73</f>
        <v>125000</v>
      </c>
      <c r="E4" s="223">
        <f>'New Bookings Forecast'!G73</f>
        <v>75000</v>
      </c>
      <c r="F4" s="227">
        <f>'New Bookings Forecast'!H73</f>
        <v>200000</v>
      </c>
      <c r="G4" s="223">
        <f>'New Bookings Forecast'!I73</f>
        <v>125000</v>
      </c>
      <c r="H4" s="223">
        <f>'New Bookings Forecast'!J73</f>
        <v>125000</v>
      </c>
      <c r="I4" s="227">
        <f>'New Bookings Forecast'!K73</f>
        <v>125000</v>
      </c>
      <c r="J4" s="223">
        <f>'New Bookings Forecast'!L73</f>
        <v>75000</v>
      </c>
      <c r="K4" s="223">
        <f>'New Bookings Forecast'!M73</f>
        <v>175000</v>
      </c>
      <c r="L4" s="227">
        <f>'New Bookings Forecast'!N73</f>
        <v>175000</v>
      </c>
      <c r="M4" s="223">
        <f>'New Bookings Forecast'!O73</f>
        <v>75000</v>
      </c>
      <c r="N4" s="223">
        <f>'New Bookings Forecast'!P73</f>
        <v>150000</v>
      </c>
      <c r="O4" s="416">
        <f>SUM(C4:N4)</f>
        <v>1655000</v>
      </c>
      <c r="P4" s="441">
        <v>1050000</v>
      </c>
      <c r="Q4" s="444">
        <f>(O4-P4)/P4</f>
        <v>0.57619047619047614</v>
      </c>
    </row>
    <row r="5" spans="1:17" ht="13.5" thickTop="1">
      <c r="B5" s="183" t="s">
        <v>150</v>
      </c>
      <c r="C5" s="229">
        <f t="shared" ref="C5:N5" si="0">SUM(C3:C4)</f>
        <v>661800</v>
      </c>
      <c r="D5" s="230">
        <f t="shared" si="0"/>
        <v>479200</v>
      </c>
      <c r="E5" s="231">
        <f t="shared" si="0"/>
        <v>325600</v>
      </c>
      <c r="F5" s="229">
        <f t="shared" si="0"/>
        <v>505200</v>
      </c>
      <c r="G5" s="230">
        <f t="shared" si="0"/>
        <v>254426</v>
      </c>
      <c r="H5" s="231">
        <f t="shared" si="0"/>
        <v>258500</v>
      </c>
      <c r="I5" s="229">
        <f t="shared" si="0"/>
        <v>306600</v>
      </c>
      <c r="J5" s="230">
        <f t="shared" si="0"/>
        <v>111000</v>
      </c>
      <c r="K5" s="231">
        <f t="shared" si="0"/>
        <v>790000</v>
      </c>
      <c r="L5" s="229">
        <f t="shared" si="0"/>
        <v>612600</v>
      </c>
      <c r="M5" s="230">
        <f t="shared" si="0"/>
        <v>274200</v>
      </c>
      <c r="N5" s="230">
        <f t="shared" si="0"/>
        <v>792985</v>
      </c>
      <c r="O5" s="496">
        <f>SUM(C5:N5)</f>
        <v>5372111</v>
      </c>
      <c r="P5" s="440">
        <v>2989952.91</v>
      </c>
      <c r="Q5" s="443">
        <f>(O5-P5)/P5</f>
        <v>0.79672093899298224</v>
      </c>
    </row>
    <row r="6" spans="1:17">
      <c r="B6" s="28"/>
      <c r="C6" s="226"/>
      <c r="D6" s="228"/>
      <c r="E6" s="228"/>
      <c r="F6" s="226"/>
      <c r="G6" s="228"/>
      <c r="H6" s="228"/>
      <c r="I6" s="226"/>
      <c r="J6" s="228"/>
      <c r="K6" s="228"/>
      <c r="L6" s="226"/>
      <c r="M6" s="228"/>
      <c r="N6" s="228"/>
      <c r="O6" s="415"/>
      <c r="P6" s="440"/>
      <c r="Q6" s="380"/>
    </row>
    <row r="7" spans="1:17" ht="15.75">
      <c r="A7" s="224" t="s">
        <v>153</v>
      </c>
      <c r="B7" s="28"/>
      <c r="C7" s="226"/>
      <c r="D7" s="228"/>
      <c r="E7" s="228"/>
      <c r="F7" s="226"/>
      <c r="G7" s="228"/>
      <c r="H7" s="228"/>
      <c r="I7" s="226"/>
      <c r="J7" s="228"/>
      <c r="K7" s="228"/>
      <c r="L7" s="226"/>
      <c r="M7" s="228"/>
      <c r="N7" s="228"/>
      <c r="O7" s="415"/>
      <c r="P7" s="440"/>
      <c r="Q7" s="380"/>
    </row>
    <row r="8" spans="1:17">
      <c r="B8" s="183" t="s">
        <v>152</v>
      </c>
      <c r="C8" s="226">
        <f>'CASH FLOW'!D3</f>
        <v>400000</v>
      </c>
      <c r="D8" s="228">
        <f>'CASH FLOW'!E3</f>
        <v>370404.33999999997</v>
      </c>
      <c r="E8" s="228">
        <f>'CASH FLOW'!F3</f>
        <v>326450.48</v>
      </c>
      <c r="F8" s="226">
        <f>'CASH FLOW'!G3</f>
        <v>359984.76500000001</v>
      </c>
      <c r="G8" s="228">
        <f>'CASH FLOW'!H3</f>
        <v>515162.53315000003</v>
      </c>
      <c r="H8" s="228">
        <f>'CASH FLOW'!I3</f>
        <v>561885.52855050005</v>
      </c>
      <c r="I8" s="226">
        <f>'CASH FLOW'!J3</f>
        <v>437509.78220893512</v>
      </c>
      <c r="J8" s="228">
        <f>'CASH FLOW'!K3</f>
        <v>268181.07933176158</v>
      </c>
      <c r="K8" s="228">
        <f>'CASH FLOW'!L3</f>
        <v>189098.12911505392</v>
      </c>
      <c r="L8" s="226">
        <f>'CASH FLOW'!M3</f>
        <v>-35032.277565355645</v>
      </c>
      <c r="M8" s="228">
        <f>'CASH FLOW'!N3</f>
        <v>68544.776681921445</v>
      </c>
      <c r="N8" s="228">
        <f>'CASH FLOW'!O3</f>
        <v>518960.89721016202</v>
      </c>
      <c r="O8" s="415"/>
      <c r="P8" s="440"/>
      <c r="Q8" s="380"/>
    </row>
    <row r="9" spans="1:17">
      <c r="B9" s="183" t="s">
        <v>154</v>
      </c>
      <c r="C9" s="226">
        <f>'CASH FLOW'!D7</f>
        <v>399600</v>
      </c>
      <c r="D9" s="228">
        <f>'CASH FLOW'!E7</f>
        <v>440687</v>
      </c>
      <c r="E9" s="228">
        <f>'CASH FLOW'!F7</f>
        <v>464600</v>
      </c>
      <c r="F9" s="226">
        <f>'CASH FLOW'!G7</f>
        <v>599600</v>
      </c>
      <c r="G9" s="228">
        <f>'CASH FLOW'!H7</f>
        <v>472200</v>
      </c>
      <c r="H9" s="228">
        <f>'CASH FLOW'!I7</f>
        <v>297600</v>
      </c>
      <c r="I9" s="226">
        <f>'CASH FLOW'!J7</f>
        <v>277426</v>
      </c>
      <c r="J9" s="228">
        <f>'CASH FLOW'!K7</f>
        <v>346090</v>
      </c>
      <c r="K9" s="228">
        <f>'CASH FLOW'!L7</f>
        <v>197000</v>
      </c>
      <c r="L9" s="226">
        <f>'CASH FLOW'!M7</f>
        <v>589600</v>
      </c>
      <c r="M9" s="228">
        <f>'CASH FLOW'!N7</f>
        <v>951600</v>
      </c>
      <c r="N9" s="228">
        <f>'CASH FLOW'!O7</f>
        <v>505000</v>
      </c>
      <c r="O9" s="415"/>
      <c r="P9" s="440"/>
      <c r="Q9" s="380"/>
    </row>
    <row r="10" spans="1:17" ht="16.5" thickBot="1">
      <c r="A10" s="224"/>
      <c r="B10" s="183" t="s">
        <v>156</v>
      </c>
      <c r="C10" s="227">
        <f>'CASH FLOW'!D8+'CASH FLOW'!D6+'CASH FLOW'!D5</f>
        <v>-429195.66000000003</v>
      </c>
      <c r="D10" s="223">
        <f>'CASH FLOW'!E8+'CASH FLOW'!E6+'CASH FLOW'!E5</f>
        <v>-484640.86</v>
      </c>
      <c r="E10" s="223">
        <f>'CASH FLOW'!F8+'CASH FLOW'!F6+'CASH FLOW'!F5</f>
        <v>-431065.71499999997</v>
      </c>
      <c r="F10" s="227">
        <f>'CASH FLOW'!G8+'CASH FLOW'!G6+'CASH FLOW'!G5</f>
        <v>-444422.23184999998</v>
      </c>
      <c r="G10" s="223">
        <f>'CASH FLOW'!H8+'CASH FLOW'!H6+'CASH FLOW'!H5</f>
        <v>-425477.00459949998</v>
      </c>
      <c r="H10" s="223">
        <f>'CASH FLOW'!I8+'CASH FLOW'!I6+'CASH FLOW'!I5</f>
        <v>-421975.74634156493</v>
      </c>
      <c r="I10" s="227">
        <f>'CASH FLOW'!J8+'CASH FLOW'!J6+'CASH FLOW'!J5</f>
        <v>-446754.70287717355</v>
      </c>
      <c r="J10" s="223">
        <f>'CASH FLOW'!K8+'CASH FLOW'!K6+'CASH FLOW'!K5</f>
        <v>-425172.95021670766</v>
      </c>
      <c r="K10" s="223">
        <f>'CASH FLOW'!L8+'CASH FLOW'!L6+'CASH FLOW'!L5</f>
        <v>-421130.40668040956</v>
      </c>
      <c r="L10" s="227">
        <f>'CASH FLOW'!M8+'CASH FLOW'!M6+'CASH FLOW'!M5</f>
        <v>-486022.94575272291</v>
      </c>
      <c r="M10" s="223">
        <f>'CASH FLOW'!N8+'CASH FLOW'!N6+'CASH FLOW'!N5</f>
        <v>-501183.87947175943</v>
      </c>
      <c r="N10" s="223">
        <f>'CASH FLOW'!O8+'CASH FLOW'!O6+'CASH FLOW'!O5</f>
        <v>-445012.80969301448</v>
      </c>
      <c r="O10" s="415"/>
      <c r="P10" s="440"/>
      <c r="Q10" s="380"/>
    </row>
    <row r="11" spans="1:17" ht="16.5" thickTop="1">
      <c r="A11" s="224"/>
      <c r="B11" s="183" t="s">
        <v>155</v>
      </c>
      <c r="C11" s="226">
        <f>'CASH FLOW'!D10</f>
        <v>370404.33999999997</v>
      </c>
      <c r="D11" s="214">
        <f>'CASH FLOW'!E10</f>
        <v>326450.48</v>
      </c>
      <c r="E11" s="214">
        <f>'CASH FLOW'!F10</f>
        <v>359984.76500000001</v>
      </c>
      <c r="F11" s="226">
        <f>'CASH FLOW'!G10</f>
        <v>515162.53315000003</v>
      </c>
      <c r="G11" s="214">
        <f>'CASH FLOW'!H10</f>
        <v>561885.52855050005</v>
      </c>
      <c r="H11" s="214">
        <f>'CASH FLOW'!I10</f>
        <v>437509.78220893512</v>
      </c>
      <c r="I11" s="226">
        <f>'CASH FLOW'!J10</f>
        <v>268181.07933176158</v>
      </c>
      <c r="J11" s="214">
        <f>'CASH FLOW'!K10</f>
        <v>189098.12911505392</v>
      </c>
      <c r="K11" s="214">
        <f>'CASH FLOW'!L10</f>
        <v>-35032.277565355645</v>
      </c>
      <c r="L11" s="226">
        <f>'CASH FLOW'!M10</f>
        <v>68544.776681921445</v>
      </c>
      <c r="M11" s="214">
        <f>'CASH FLOW'!N10</f>
        <v>518960.89721016202</v>
      </c>
      <c r="N11" s="214">
        <f>'CASH FLOW'!O10</f>
        <v>578948.08751714753</v>
      </c>
      <c r="O11" s="415"/>
      <c r="P11" s="440"/>
      <c r="Q11" s="380"/>
    </row>
    <row r="12" spans="1:17" ht="24" customHeight="1">
      <c r="C12" s="226"/>
      <c r="D12" s="214"/>
      <c r="E12" s="214"/>
      <c r="F12" s="226"/>
      <c r="G12" s="214"/>
      <c r="H12" s="214"/>
      <c r="I12" s="226"/>
      <c r="J12" s="214"/>
      <c r="K12" s="214"/>
      <c r="L12" s="226"/>
      <c r="M12" s="214"/>
      <c r="N12" s="214"/>
      <c r="O12" s="415"/>
      <c r="P12" s="440"/>
      <c r="Q12" s="380"/>
    </row>
    <row r="13" spans="1:17" ht="15.75">
      <c r="A13" s="224" t="s">
        <v>146</v>
      </c>
      <c r="C13" s="226"/>
      <c r="D13" s="214"/>
      <c r="E13" s="214"/>
      <c r="F13" s="226"/>
      <c r="G13" s="214"/>
      <c r="H13" s="214"/>
      <c r="I13" s="226"/>
      <c r="J13" s="214"/>
      <c r="K13" s="214"/>
      <c r="L13" s="226"/>
      <c r="M13" s="214"/>
      <c r="N13" s="214"/>
      <c r="O13" s="415"/>
      <c r="P13" s="450" t="s">
        <v>331</v>
      </c>
      <c r="Q13" s="380"/>
    </row>
    <row r="14" spans="1:17">
      <c r="A14" s="5"/>
      <c r="B14" s="5" t="s">
        <v>147</v>
      </c>
      <c r="C14" s="226">
        <f>'New Bookings Forecast'!E97</f>
        <v>97300</v>
      </c>
      <c r="D14" s="214">
        <f>'New Bookings Forecast'!F97</f>
        <v>100300</v>
      </c>
      <c r="E14" s="214">
        <f>'New Bookings Forecast'!G97</f>
        <v>122100</v>
      </c>
      <c r="F14" s="226">
        <f>'New Bookings Forecast'!H97</f>
        <v>155700</v>
      </c>
      <c r="G14" s="214">
        <f>'New Bookings Forecast'!I97</f>
        <v>169300</v>
      </c>
      <c r="H14" s="214">
        <f>'New Bookings Forecast'!J97</f>
        <v>179600</v>
      </c>
      <c r="I14" s="226">
        <f>'New Bookings Forecast'!K97</f>
        <v>182600</v>
      </c>
      <c r="J14" s="214">
        <f>'New Bookings Forecast'!L97</f>
        <v>189600</v>
      </c>
      <c r="K14" s="214">
        <f>'New Bookings Forecast'!M97</f>
        <v>195600</v>
      </c>
      <c r="L14" s="226">
        <f>'New Bookings Forecast'!N97</f>
        <v>206900</v>
      </c>
      <c r="M14" s="214">
        <f>'New Bookings Forecast'!O97</f>
        <v>258383.33333333334</v>
      </c>
      <c r="N14" s="214">
        <f>'New Bookings Forecast'!P97</f>
        <v>276383.33333333337</v>
      </c>
      <c r="O14" s="415">
        <f>SUM(C14:N14)</f>
        <v>2133766.6666666665</v>
      </c>
      <c r="P14" s="440">
        <v>1000000</v>
      </c>
      <c r="Q14" s="443">
        <f>(O14-P14)/P14</f>
        <v>1.1337666666666666</v>
      </c>
    </row>
    <row r="15" spans="1:17" ht="13.5" thickBot="1">
      <c r="A15" s="5"/>
      <c r="B15" s="5" t="s">
        <v>148</v>
      </c>
      <c r="C15" s="468">
        <f>'New Bookings Forecast'!E96</f>
        <v>125000</v>
      </c>
      <c r="D15" s="223">
        <f>'New Bookings Forecast'!F96</f>
        <v>140000</v>
      </c>
      <c r="E15" s="223">
        <f>'New Bookings Forecast'!G96</f>
        <v>145000</v>
      </c>
      <c r="F15" s="227">
        <f>'New Bookings Forecast'!H96</f>
        <v>155000</v>
      </c>
      <c r="G15" s="223">
        <f>'New Bookings Forecast'!I96</f>
        <v>150000</v>
      </c>
      <c r="H15" s="223">
        <f>'New Bookings Forecast'!J96</f>
        <v>125000</v>
      </c>
      <c r="I15" s="227">
        <f>'New Bookings Forecast'!K96</f>
        <v>145000</v>
      </c>
      <c r="J15" s="223">
        <f>'New Bookings Forecast'!L96</f>
        <v>125000</v>
      </c>
      <c r="K15" s="223">
        <f>'New Bookings Forecast'!M96</f>
        <v>95000</v>
      </c>
      <c r="L15" s="227">
        <f>'New Bookings Forecast'!N96</f>
        <v>185000</v>
      </c>
      <c r="M15" s="223">
        <f>'New Bookings Forecast'!O96</f>
        <v>195000</v>
      </c>
      <c r="N15" s="223">
        <f>'New Bookings Forecast'!P96</f>
        <v>290000</v>
      </c>
      <c r="O15" s="416">
        <f>SUM(C15:N15)</f>
        <v>1875000</v>
      </c>
      <c r="P15" s="441">
        <v>1286000</v>
      </c>
      <c r="Q15" s="444">
        <f>(O15-P15)/P15</f>
        <v>0.45800933125972004</v>
      </c>
    </row>
    <row r="16" spans="1:17" ht="13.5" thickTop="1">
      <c r="A16" s="5"/>
      <c r="B16" s="183" t="s">
        <v>150</v>
      </c>
      <c r="C16" s="229">
        <f t="shared" ref="C16:N16" si="1">SUM(C14:C15)</f>
        <v>222300</v>
      </c>
      <c r="D16" s="230">
        <f t="shared" si="1"/>
        <v>240300</v>
      </c>
      <c r="E16" s="231">
        <f t="shared" si="1"/>
        <v>267100</v>
      </c>
      <c r="F16" s="229">
        <f t="shared" si="1"/>
        <v>310700</v>
      </c>
      <c r="G16" s="230">
        <f t="shared" si="1"/>
        <v>319300</v>
      </c>
      <c r="H16" s="231">
        <f t="shared" si="1"/>
        <v>304600</v>
      </c>
      <c r="I16" s="229">
        <f t="shared" si="1"/>
        <v>327600</v>
      </c>
      <c r="J16" s="230">
        <f t="shared" si="1"/>
        <v>314600</v>
      </c>
      <c r="K16" s="231">
        <f t="shared" si="1"/>
        <v>290600</v>
      </c>
      <c r="L16" s="229">
        <f t="shared" si="1"/>
        <v>391900</v>
      </c>
      <c r="M16" s="230">
        <f t="shared" si="1"/>
        <v>453383.33333333337</v>
      </c>
      <c r="N16" s="230">
        <f t="shared" si="1"/>
        <v>566383.33333333337</v>
      </c>
      <c r="O16" s="415">
        <f>SUM(C16:N16)</f>
        <v>4008766.666666667</v>
      </c>
      <c r="P16" s="440">
        <f>SUM(P14:P15)</f>
        <v>2286000</v>
      </c>
      <c r="Q16" s="443">
        <f>(O16-P16)/P16</f>
        <v>0.75361621463983686</v>
      </c>
    </row>
    <row r="17" spans="1:18">
      <c r="A17" s="5"/>
      <c r="C17" s="226"/>
      <c r="D17" s="214"/>
      <c r="E17" s="214"/>
      <c r="F17" s="226"/>
      <c r="G17" s="214"/>
      <c r="H17" s="214"/>
      <c r="I17" s="226"/>
      <c r="J17" s="214"/>
      <c r="K17" s="214"/>
      <c r="L17" s="226"/>
      <c r="M17" s="214"/>
      <c r="N17" s="214"/>
      <c r="O17" s="415"/>
      <c r="P17" s="440"/>
      <c r="Q17" s="380"/>
    </row>
    <row r="18" spans="1:18" ht="15.75">
      <c r="A18" s="224" t="s">
        <v>173</v>
      </c>
      <c r="C18" s="226">
        <f>'New Bookings Forecast'!E103</f>
        <v>240995.00000000003</v>
      </c>
      <c r="D18" s="228">
        <f>'New Bookings Forecast'!F103</f>
        <v>240995.00000000003</v>
      </c>
      <c r="E18" s="228">
        <f>'New Bookings Forecast'!G103</f>
        <v>240995.00000000003</v>
      </c>
      <c r="F18" s="226">
        <f>'New Bookings Forecast'!H103</f>
        <v>240995.00000000003</v>
      </c>
      <c r="G18" s="228">
        <f>'New Bookings Forecast'!I103</f>
        <v>240995.00000000003</v>
      </c>
      <c r="H18" s="228">
        <f>'New Bookings Forecast'!J103</f>
        <v>247845.00000000003</v>
      </c>
      <c r="I18" s="226">
        <f>'New Bookings Forecast'!K103</f>
        <v>254695.00000000003</v>
      </c>
      <c r="J18" s="228">
        <f>'New Bookings Forecast'!L103</f>
        <v>254695.00000000003</v>
      </c>
      <c r="K18" s="228">
        <f>'New Bookings Forecast'!M103</f>
        <v>254695.00000000003</v>
      </c>
      <c r="L18" s="226">
        <f>'New Bookings Forecast'!N103</f>
        <v>254695.00000000003</v>
      </c>
      <c r="M18" s="228">
        <f>'New Bookings Forecast'!O103</f>
        <v>254695.00000000003</v>
      </c>
      <c r="N18" s="228">
        <f>'New Bookings Forecast'!P103</f>
        <v>254695.00000000003</v>
      </c>
      <c r="O18" s="415">
        <f>'New Bookings Forecast'!Q103</f>
        <v>2980990.0000000005</v>
      </c>
      <c r="P18" s="440">
        <v>2374000</v>
      </c>
      <c r="Q18" s="443">
        <f>(O18-P18)/P18</f>
        <v>0.25568239258635234</v>
      </c>
      <c r="R18" s="16"/>
    </row>
    <row r="19" spans="1:18" ht="16.5" thickBot="1">
      <c r="A19" s="224" t="s">
        <v>174</v>
      </c>
      <c r="C19" s="227">
        <f>'New Bookings Forecast'!E104</f>
        <v>138200.66</v>
      </c>
      <c r="D19" s="223">
        <f>'New Bookings Forecast'!F104</f>
        <v>193645.86</v>
      </c>
      <c r="E19" s="223">
        <f>'New Bookings Forecast'!G104</f>
        <v>190070.715</v>
      </c>
      <c r="F19" s="227">
        <f>'New Bookings Forecast'!H104</f>
        <v>203427.23184999998</v>
      </c>
      <c r="G19" s="223">
        <f>'New Bookings Forecast'!I104</f>
        <v>184482.00459950001</v>
      </c>
      <c r="H19" s="223">
        <f>'New Bookings Forecast'!J104</f>
        <v>174130.74634156501</v>
      </c>
      <c r="I19" s="227">
        <f>'New Bookings Forecast'!K104</f>
        <v>192059.70287717355</v>
      </c>
      <c r="J19" s="223">
        <f>'New Bookings Forecast'!L104</f>
        <v>170477.9502167076</v>
      </c>
      <c r="K19" s="223">
        <f>'New Bookings Forecast'!M104</f>
        <v>166435.40668040953</v>
      </c>
      <c r="L19" s="227">
        <f>'New Bookings Forecast'!N104</f>
        <v>231327.94575272288</v>
      </c>
      <c r="M19" s="223">
        <f>'New Bookings Forecast'!O104</f>
        <v>246488.8794717594</v>
      </c>
      <c r="N19" s="223">
        <f>'New Bookings Forecast'!P104</f>
        <v>190317.80969301448</v>
      </c>
      <c r="O19" s="416">
        <f>'New Bookings Forecast'!Q104</f>
        <v>2281064.9124828521</v>
      </c>
      <c r="P19" s="441">
        <v>1000000</v>
      </c>
      <c r="Q19" s="444">
        <f>(O19-P19)/P19</f>
        <v>1.2810649124828521</v>
      </c>
      <c r="R19" s="210"/>
    </row>
    <row r="20" spans="1:18" ht="13.5" thickTop="1">
      <c r="A20" s="5"/>
      <c r="B20" s="183" t="s">
        <v>150</v>
      </c>
      <c r="C20" s="229">
        <f t="shared" ref="C20:N20" si="2">SUM(C18:C19)</f>
        <v>379195.66000000003</v>
      </c>
      <c r="D20" s="230">
        <f t="shared" si="2"/>
        <v>434640.86</v>
      </c>
      <c r="E20" s="231">
        <f t="shared" si="2"/>
        <v>431065.71500000003</v>
      </c>
      <c r="F20" s="229">
        <f t="shared" si="2"/>
        <v>444422.23184999998</v>
      </c>
      <c r="G20" s="230">
        <f t="shared" si="2"/>
        <v>425477.00459950004</v>
      </c>
      <c r="H20" s="231">
        <f t="shared" si="2"/>
        <v>421975.74634156504</v>
      </c>
      <c r="I20" s="229">
        <f t="shared" si="2"/>
        <v>446754.70287717355</v>
      </c>
      <c r="J20" s="230">
        <f t="shared" si="2"/>
        <v>425172.95021670766</v>
      </c>
      <c r="K20" s="231">
        <f t="shared" si="2"/>
        <v>421130.40668040956</v>
      </c>
      <c r="L20" s="229">
        <f t="shared" si="2"/>
        <v>486022.94575272291</v>
      </c>
      <c r="M20" s="230">
        <f t="shared" si="2"/>
        <v>501183.87947175943</v>
      </c>
      <c r="N20" s="230">
        <f t="shared" si="2"/>
        <v>445012.80969301448</v>
      </c>
      <c r="O20" s="415">
        <f>SUM(C20:N20)</f>
        <v>5262054.912482853</v>
      </c>
      <c r="P20" s="440">
        <f>SUM(P18:P19)</f>
        <v>3374000</v>
      </c>
      <c r="Q20" s="443">
        <f>(O20-P20)/P20</f>
        <v>0.55958948206367898</v>
      </c>
    </row>
    <row r="21" spans="1:18" ht="15.75">
      <c r="A21" s="224"/>
      <c r="C21" s="226"/>
      <c r="D21" s="228"/>
      <c r="E21" s="228"/>
      <c r="F21" s="226"/>
      <c r="G21" s="228"/>
      <c r="H21" s="228"/>
      <c r="I21" s="226"/>
      <c r="J21" s="228"/>
      <c r="K21" s="228"/>
      <c r="L21" s="226"/>
      <c r="M21" s="228"/>
      <c r="N21" s="228"/>
      <c r="O21" s="415"/>
      <c r="P21" s="232"/>
      <c r="Q21" s="451"/>
      <c r="R21" s="210"/>
    </row>
    <row r="22" spans="1:18" ht="7.5" customHeight="1">
      <c r="A22" s="5"/>
      <c r="C22" s="226"/>
      <c r="D22" s="214"/>
      <c r="E22" s="214"/>
      <c r="F22" s="226"/>
      <c r="G22" s="214"/>
      <c r="H22" s="214"/>
      <c r="I22" s="226"/>
      <c r="J22" s="214"/>
      <c r="K22" s="214"/>
      <c r="L22" s="226"/>
      <c r="M22" s="214"/>
      <c r="N22" s="214"/>
      <c r="O22" s="415"/>
      <c r="P22" s="232"/>
      <c r="Q22" s="452"/>
    </row>
    <row r="23" spans="1:18" ht="15.75">
      <c r="A23" s="224" t="s">
        <v>184</v>
      </c>
      <c r="C23" s="226">
        <f>C16-C18-C19</f>
        <v>-156895.66000000003</v>
      </c>
      <c r="D23" s="214">
        <f t="shared" ref="D23:O23" si="3">D16-D18-D19</f>
        <v>-194340.86000000002</v>
      </c>
      <c r="E23" s="214">
        <f t="shared" si="3"/>
        <v>-163965.71500000003</v>
      </c>
      <c r="F23" s="226">
        <f t="shared" si="3"/>
        <v>-133722.23185000001</v>
      </c>
      <c r="G23" s="214">
        <f t="shared" si="3"/>
        <v>-106177.00459950004</v>
      </c>
      <c r="H23" s="214">
        <f t="shared" si="3"/>
        <v>-117375.74634156504</v>
      </c>
      <c r="I23" s="226">
        <f t="shared" si="3"/>
        <v>-119154.70287717358</v>
      </c>
      <c r="J23" s="214">
        <f t="shared" si="3"/>
        <v>-110572.95021670763</v>
      </c>
      <c r="K23" s="214">
        <f t="shared" si="3"/>
        <v>-130530.40668040956</v>
      </c>
      <c r="L23" s="226">
        <f t="shared" si="3"/>
        <v>-94122.94575272291</v>
      </c>
      <c r="M23" s="214">
        <f t="shared" si="3"/>
        <v>-47800.546138426056</v>
      </c>
      <c r="N23" s="214">
        <f t="shared" si="3"/>
        <v>121370.52364031889</v>
      </c>
      <c r="O23" s="415">
        <f t="shared" si="3"/>
        <v>-1253288.2458161856</v>
      </c>
      <c r="P23" s="453"/>
      <c r="Q23" s="452"/>
    </row>
  </sheetData>
  <phoneticPr fontId="2" type="noConversion"/>
  <pageMargins left="0.5" right="0.5" top="1" bottom="1" header="0.5" footer="0.5"/>
  <pageSetup scale="77" orientation="landscape" horizontalDpi="1200" verticalDpi="1200" r:id="rId1"/>
  <headerFooter alignWithMargins="0">
    <oddHeader>&amp;C&amp;"Arial,Bold"&amp;14Aras Corporation - 2008 ProForma</oddHeader>
    <oddFooter>&amp;LAras Corp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3"/>
  <sheetViews>
    <sheetView workbookViewId="0">
      <selection activeCell="C37" sqref="C37:AE37"/>
    </sheetView>
  </sheetViews>
  <sheetFormatPr defaultRowHeight="12.75"/>
  <cols>
    <col min="1" max="1" width="7.42578125" customWidth="1"/>
    <col min="2" max="2" width="30.42578125" customWidth="1"/>
    <col min="3" max="4" width="8.140625" customWidth="1"/>
    <col min="5" max="5" width="8.85546875" customWidth="1"/>
    <col min="6" max="6" width="9" customWidth="1"/>
    <col min="7" max="7" width="9.42578125" customWidth="1"/>
    <col min="8" max="8" width="1.7109375" customWidth="1"/>
    <col min="9" max="12" width="8.140625" customWidth="1"/>
    <col min="13" max="13" width="9" customWidth="1"/>
    <col min="14" max="14" width="1.42578125" customWidth="1"/>
    <col min="15" max="16" width="8.140625" customWidth="1"/>
    <col min="17" max="17" width="9" customWidth="1"/>
    <col min="18" max="18" width="8.140625" customWidth="1"/>
    <col min="19" max="19" width="10.140625" customWidth="1"/>
    <col min="20" max="20" width="1.42578125" customWidth="1"/>
    <col min="21" max="21" width="8.140625" customWidth="1"/>
    <col min="22" max="22" width="9.5703125" customWidth="1"/>
    <col min="23" max="23" width="9.28515625" customWidth="1"/>
    <col min="24" max="24" width="9.5703125" customWidth="1"/>
    <col min="25" max="25" width="9.28515625" customWidth="1"/>
    <col min="26" max="26" width="1.42578125" customWidth="1"/>
    <col min="28" max="28" width="9.42578125" customWidth="1"/>
    <col min="29" max="29" width="9.28515625" customWidth="1"/>
    <col min="30" max="30" width="10" customWidth="1"/>
    <col min="31" max="31" width="9.28515625" customWidth="1"/>
  </cols>
  <sheetData>
    <row r="1" spans="1:34" ht="15.75">
      <c r="A1" s="267" t="s">
        <v>185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4">
      <c r="A2" s="35"/>
      <c r="B2" s="234"/>
      <c r="C2" s="5" t="s">
        <v>170</v>
      </c>
      <c r="G2" s="321">
        <f>G6+G7</f>
        <v>5292.1109999999999</v>
      </c>
      <c r="M2" s="321">
        <f>M6+M7</f>
        <v>9179.0234999999993</v>
      </c>
      <c r="N2" s="35"/>
      <c r="S2" s="321">
        <f>S6+S7</f>
        <v>15986.221775000002</v>
      </c>
      <c r="T2" s="35"/>
      <c r="Y2" s="321">
        <f>Y6+Y7</f>
        <v>27210.606019999999</v>
      </c>
      <c r="Z2" s="35"/>
      <c r="AE2" s="321">
        <f>AE6+AE7</f>
        <v>46184.583283500004</v>
      </c>
    </row>
    <row r="3" spans="1:34">
      <c r="A3" s="674" t="s">
        <v>157</v>
      </c>
      <c r="B3" s="675"/>
      <c r="C3" s="678">
        <v>2009</v>
      </c>
      <c r="D3" s="679"/>
      <c r="E3" s="679"/>
      <c r="F3" s="679"/>
      <c r="G3" s="680"/>
      <c r="H3" s="5"/>
      <c r="I3" s="678">
        <v>2010</v>
      </c>
      <c r="J3" s="679"/>
      <c r="K3" s="679"/>
      <c r="L3" s="679"/>
      <c r="M3" s="680"/>
      <c r="N3" s="269"/>
      <c r="O3" s="678">
        <v>2011</v>
      </c>
      <c r="P3" s="679"/>
      <c r="Q3" s="679"/>
      <c r="R3" s="679"/>
      <c r="S3" s="680"/>
      <c r="T3" s="269"/>
      <c r="U3" s="678">
        <v>2012</v>
      </c>
      <c r="V3" s="679"/>
      <c r="W3" s="679"/>
      <c r="X3" s="679"/>
      <c r="Y3" s="680"/>
      <c r="Z3" s="269"/>
      <c r="AA3" s="678">
        <v>2013</v>
      </c>
      <c r="AB3" s="679"/>
      <c r="AC3" s="679"/>
      <c r="AD3" s="679"/>
      <c r="AE3" s="680"/>
    </row>
    <row r="4" spans="1:34" s="268" customFormat="1" ht="24" customHeight="1">
      <c r="A4" s="676"/>
      <c r="B4" s="677"/>
      <c r="C4" s="250" t="s">
        <v>161</v>
      </c>
      <c r="D4" s="250" t="s">
        <v>158</v>
      </c>
      <c r="E4" s="250" t="s">
        <v>159</v>
      </c>
      <c r="F4" s="235" t="s">
        <v>160</v>
      </c>
      <c r="G4" s="250" t="s">
        <v>150</v>
      </c>
      <c r="H4" s="5"/>
      <c r="I4" s="250" t="s">
        <v>161</v>
      </c>
      <c r="J4" s="250" t="s">
        <v>158</v>
      </c>
      <c r="K4" s="250" t="s">
        <v>159</v>
      </c>
      <c r="L4" s="235" t="s">
        <v>160</v>
      </c>
      <c r="M4" s="250" t="s">
        <v>150</v>
      </c>
      <c r="N4" s="5"/>
      <c r="O4" s="250" t="s">
        <v>161</v>
      </c>
      <c r="P4" s="250" t="s">
        <v>158</v>
      </c>
      <c r="Q4" s="250" t="s">
        <v>159</v>
      </c>
      <c r="R4" s="235" t="s">
        <v>160</v>
      </c>
      <c r="S4" s="250" t="s">
        <v>150</v>
      </c>
      <c r="T4" s="5"/>
      <c r="U4" s="250" t="s">
        <v>161</v>
      </c>
      <c r="V4" s="250" t="s">
        <v>158</v>
      </c>
      <c r="W4" s="250" t="s">
        <v>159</v>
      </c>
      <c r="X4" s="235" t="s">
        <v>160</v>
      </c>
      <c r="Y4" s="250" t="s">
        <v>150</v>
      </c>
      <c r="Z4" s="5"/>
      <c r="AA4" s="250" t="s">
        <v>161</v>
      </c>
      <c r="AB4" s="250" t="s">
        <v>158</v>
      </c>
      <c r="AC4" s="250" t="s">
        <v>159</v>
      </c>
      <c r="AD4" s="235" t="s">
        <v>160</v>
      </c>
      <c r="AE4" s="250" t="s">
        <v>150</v>
      </c>
      <c r="AF4"/>
      <c r="AG4"/>
      <c r="AH4"/>
    </row>
    <row r="5" spans="1:34" s="268" customFormat="1" ht="18" customHeight="1">
      <c r="A5" s="313" t="s">
        <v>186</v>
      </c>
      <c r="B5" s="310"/>
      <c r="C5" s="311"/>
      <c r="D5" s="311"/>
      <c r="E5" s="311"/>
      <c r="F5" s="312"/>
      <c r="G5" s="311"/>
      <c r="H5" s="5"/>
      <c r="I5" s="311"/>
      <c r="J5" s="311"/>
      <c r="K5" s="311"/>
      <c r="L5" s="312"/>
      <c r="M5" s="311"/>
      <c r="N5" s="5"/>
      <c r="O5" s="311"/>
      <c r="P5" s="311"/>
      <c r="Q5" s="311"/>
      <c r="R5" s="312"/>
      <c r="S5" s="311"/>
      <c r="T5" s="5"/>
      <c r="U5" s="311"/>
      <c r="V5" s="311"/>
      <c r="W5" s="311"/>
      <c r="X5" s="312"/>
      <c r="Y5" s="311"/>
      <c r="Z5" s="5"/>
      <c r="AA5" s="311"/>
      <c r="AB5" s="311"/>
      <c r="AC5" s="311"/>
      <c r="AD5" s="312"/>
      <c r="AE5" s="311"/>
      <c r="AF5"/>
      <c r="AG5"/>
      <c r="AH5"/>
    </row>
    <row r="6" spans="1:34">
      <c r="A6" s="245"/>
      <c r="B6" s="237" t="s">
        <v>147</v>
      </c>
      <c r="C6" s="242">
        <f>SUM('ProForma-2009'!C3:E3)/1000-20</f>
        <v>1016.5999999999999</v>
      </c>
      <c r="D6" s="242">
        <f>SUM('ProForma-2009'!F3:H3)/1000-30</f>
        <v>538.12599999999998</v>
      </c>
      <c r="E6" s="242">
        <f>SUM('ProForma-2009'!I3:K3)/1000</f>
        <v>832.6</v>
      </c>
      <c r="F6" s="243">
        <f>SUM('ProForma-2009'!L3:N3)/1000-30</f>
        <v>1249.7850000000001</v>
      </c>
      <c r="G6" s="242">
        <f>SUM(C6:F6)</f>
        <v>3637.1109999999999</v>
      </c>
      <c r="H6" s="248"/>
      <c r="I6" s="242">
        <f>C6*1.65</f>
        <v>1677.3899999999999</v>
      </c>
      <c r="J6" s="242">
        <f>D6*1.75</f>
        <v>941.7204999999999</v>
      </c>
      <c r="K6" s="242">
        <f>E6*1.75</f>
        <v>1457.05</v>
      </c>
      <c r="L6" s="243">
        <f>F6*1.8</f>
        <v>2249.6130000000003</v>
      </c>
      <c r="M6" s="242">
        <f>SUM(I6:L6)</f>
        <v>6325.7735000000002</v>
      </c>
      <c r="N6" s="248"/>
      <c r="O6" s="242">
        <f>I6*1.75</f>
        <v>2935.4324999999999</v>
      </c>
      <c r="P6" s="242">
        <f>J6*1.75</f>
        <v>1648.0108749999999</v>
      </c>
      <c r="Q6" s="242">
        <f>K6*1.75</f>
        <v>2549.8375000000001</v>
      </c>
      <c r="R6" s="243">
        <f>L6*1.8</f>
        <v>4049.3034000000007</v>
      </c>
      <c r="S6" s="242">
        <f>SUM(O6:R6)</f>
        <v>11182.584275000001</v>
      </c>
      <c r="T6" s="248"/>
      <c r="U6" s="242">
        <f>O6*1.75</f>
        <v>5137.006875</v>
      </c>
      <c r="V6" s="242">
        <f t="shared" ref="U6:X7" si="0">P6*1.6</f>
        <v>2636.8173999999999</v>
      </c>
      <c r="W6" s="242">
        <f>Q6*1.75</f>
        <v>4462.2156249999998</v>
      </c>
      <c r="X6" s="243">
        <f>R6*1.8</f>
        <v>7288.7461200000016</v>
      </c>
      <c r="Y6" s="242">
        <f>SUM(U6:X6)</f>
        <v>19524.78602</v>
      </c>
      <c r="Z6" s="248"/>
      <c r="AA6" s="242">
        <f>U6*1.65</f>
        <v>8476.0613437499997</v>
      </c>
      <c r="AB6" s="242">
        <f>V6*1.7</f>
        <v>4482.5895799999998</v>
      </c>
      <c r="AC6" s="242">
        <f>W6*1.75</f>
        <v>7808.8773437499995</v>
      </c>
      <c r="AD6" s="243">
        <f>X6*1.8</f>
        <v>13119.743016000004</v>
      </c>
      <c r="AE6" s="242">
        <f>SUM(AA6:AD6)</f>
        <v>33887.271283499998</v>
      </c>
    </row>
    <row r="7" spans="1:34">
      <c r="A7" s="246"/>
      <c r="B7" s="270" t="s">
        <v>148</v>
      </c>
      <c r="C7" s="242">
        <f>SUM('ProForma-2009'!C4:E4)/1000</f>
        <v>430</v>
      </c>
      <c r="D7" s="242">
        <f>SUM('ProForma-2009'!F4:H4)/1000</f>
        <v>450</v>
      </c>
      <c r="E7" s="242">
        <f>SUM('ProForma-2009'!I4:K4)/1000</f>
        <v>375</v>
      </c>
      <c r="F7" s="243">
        <f>SUM('ProForma-2009'!L4:N4)/1000</f>
        <v>400</v>
      </c>
      <c r="G7" s="242">
        <f>SUM(C7:F7)</f>
        <v>1655</v>
      </c>
      <c r="H7" s="244"/>
      <c r="I7" s="242">
        <f>C7*1.65</f>
        <v>709.5</v>
      </c>
      <c r="J7" s="242">
        <f>D7*1.75</f>
        <v>787.5</v>
      </c>
      <c r="K7" s="242">
        <f>E7*1.75</f>
        <v>656.25</v>
      </c>
      <c r="L7" s="243">
        <f>F7*1.75</f>
        <v>700</v>
      </c>
      <c r="M7" s="242">
        <f>SUM(I7:L7)</f>
        <v>2853.25</v>
      </c>
      <c r="N7" s="244"/>
      <c r="O7" s="242">
        <f>I7*1.6</f>
        <v>1135.2</v>
      </c>
      <c r="P7" s="242">
        <f>J7*1.6</f>
        <v>1260</v>
      </c>
      <c r="Q7" s="242">
        <f>K7*1.75</f>
        <v>1148.4375</v>
      </c>
      <c r="R7" s="243">
        <f>L7*1.8</f>
        <v>1260</v>
      </c>
      <c r="S7" s="242">
        <f>SUM(O7:R7)</f>
        <v>4803.6374999999998</v>
      </c>
      <c r="T7" s="244"/>
      <c r="U7" s="242">
        <f t="shared" si="0"/>
        <v>1816.3200000000002</v>
      </c>
      <c r="V7" s="242">
        <f t="shared" si="0"/>
        <v>2016</v>
      </c>
      <c r="W7" s="242">
        <f t="shared" si="0"/>
        <v>1837.5</v>
      </c>
      <c r="X7" s="243">
        <f t="shared" si="0"/>
        <v>2016</v>
      </c>
      <c r="Y7" s="242">
        <f>SUM(U7:X7)</f>
        <v>7685.82</v>
      </c>
      <c r="Z7" s="244"/>
      <c r="AA7" s="242">
        <f>U7*1.6</f>
        <v>2906.1120000000005</v>
      </c>
      <c r="AB7" s="242">
        <f>V7*1.6</f>
        <v>3225.6000000000004</v>
      </c>
      <c r="AC7" s="242">
        <f>W7*1.6</f>
        <v>2940</v>
      </c>
      <c r="AD7" s="243">
        <f>X7*1.6</f>
        <v>3225.6000000000004</v>
      </c>
      <c r="AE7" s="242">
        <f>SUM(AA7:AD7)</f>
        <v>12297.312000000002</v>
      </c>
    </row>
    <row r="8" spans="1:34" s="268" customFormat="1" ht="11.25" customHeight="1">
      <c r="A8" s="313" t="s">
        <v>323</v>
      </c>
      <c r="B8" s="310"/>
      <c r="C8" s="311"/>
      <c r="D8" s="311"/>
      <c r="E8" s="311"/>
      <c r="F8" s="312"/>
      <c r="G8" s="311"/>
      <c r="H8" s="5"/>
      <c r="I8" s="311"/>
      <c r="J8" s="311"/>
      <c r="K8" s="311"/>
      <c r="L8" s="312"/>
      <c r="M8" s="311"/>
      <c r="N8" s="5"/>
      <c r="O8" s="311"/>
      <c r="P8" s="311"/>
      <c r="Q8" s="311"/>
      <c r="R8" s="312"/>
      <c r="S8" s="311"/>
      <c r="T8" s="5"/>
      <c r="U8" s="311"/>
      <c r="V8" s="311"/>
      <c r="W8" s="311"/>
      <c r="X8" s="312"/>
      <c r="Y8" s="311"/>
      <c r="Z8" s="5"/>
      <c r="AA8" s="311"/>
      <c r="AB8" s="311"/>
      <c r="AC8" s="311"/>
      <c r="AD8" s="312"/>
      <c r="AE8" s="311"/>
      <c r="AF8"/>
      <c r="AG8"/>
      <c r="AH8"/>
    </row>
    <row r="9" spans="1:34">
      <c r="A9" s="245"/>
      <c r="B9" s="237" t="s">
        <v>147</v>
      </c>
      <c r="C9" s="242">
        <v>20</v>
      </c>
      <c r="D9" s="242">
        <v>30</v>
      </c>
      <c r="E9" s="242">
        <v>0</v>
      </c>
      <c r="F9" s="243">
        <v>30</v>
      </c>
      <c r="G9" s="242">
        <f>SUM(C9:F9)</f>
        <v>80</v>
      </c>
      <c r="H9" s="248"/>
      <c r="I9" s="242">
        <v>60</v>
      </c>
      <c r="J9" s="242">
        <v>60</v>
      </c>
      <c r="K9" s="242">
        <v>60</v>
      </c>
      <c r="L9" s="243">
        <v>60</v>
      </c>
      <c r="M9" s="242">
        <f>SUM(I9:L9)</f>
        <v>240</v>
      </c>
      <c r="N9" s="248"/>
      <c r="O9" s="242">
        <f>I9*1.6</f>
        <v>96</v>
      </c>
      <c r="P9" s="242">
        <f>J9*1.6</f>
        <v>96</v>
      </c>
      <c r="Q9" s="242">
        <f>K9*1.6</f>
        <v>96</v>
      </c>
      <c r="R9" s="243">
        <f>L9*1.6</f>
        <v>96</v>
      </c>
      <c r="S9" s="242">
        <f>SUM(O9:R9)</f>
        <v>384</v>
      </c>
      <c r="T9" s="248"/>
      <c r="U9" s="242">
        <f>O9*1.6</f>
        <v>153.60000000000002</v>
      </c>
      <c r="V9" s="242">
        <f>P9*1.6</f>
        <v>153.60000000000002</v>
      </c>
      <c r="W9" s="242">
        <f>Q9*1.6</f>
        <v>153.60000000000002</v>
      </c>
      <c r="X9" s="243">
        <f>R9*1.6</f>
        <v>153.60000000000002</v>
      </c>
      <c r="Y9" s="242">
        <f>SUM(U9:X9)</f>
        <v>614.40000000000009</v>
      </c>
      <c r="Z9" s="248"/>
      <c r="AA9" s="242">
        <f>U9*1.6</f>
        <v>245.76000000000005</v>
      </c>
      <c r="AB9" s="242">
        <f>V9*1.6</f>
        <v>245.76000000000005</v>
      </c>
      <c r="AC9" s="242">
        <f>W9*1.6</f>
        <v>245.76000000000005</v>
      </c>
      <c r="AD9" s="243">
        <f>X9*1.6</f>
        <v>245.76000000000005</v>
      </c>
      <c r="AE9" s="242">
        <f>SUM(AA9:AD9)</f>
        <v>983.04000000000019</v>
      </c>
    </row>
    <row r="10" spans="1:34">
      <c r="A10" s="246"/>
      <c r="B10" s="270" t="s">
        <v>148</v>
      </c>
      <c r="C10" s="242"/>
      <c r="D10" s="242"/>
      <c r="E10" s="242"/>
      <c r="F10" s="243"/>
      <c r="G10" s="242"/>
      <c r="H10" s="244"/>
      <c r="I10" s="242"/>
      <c r="J10" s="242"/>
      <c r="K10" s="242"/>
      <c r="L10" s="243"/>
      <c r="M10" s="242"/>
      <c r="N10" s="244"/>
      <c r="O10" s="242"/>
      <c r="P10" s="242"/>
      <c r="Q10" s="242"/>
      <c r="R10" s="243"/>
      <c r="S10" s="242"/>
      <c r="T10" s="244"/>
      <c r="U10" s="242"/>
      <c r="V10" s="242"/>
      <c r="W10" s="242"/>
      <c r="X10" s="243"/>
      <c r="Y10" s="242"/>
      <c r="Z10" s="244"/>
      <c r="AA10" s="242"/>
      <c r="AB10" s="242"/>
      <c r="AC10" s="242"/>
      <c r="AD10" s="243"/>
      <c r="AE10" s="242"/>
    </row>
    <row r="11" spans="1:34" s="268" customFormat="1" ht="13.5" customHeight="1">
      <c r="A11" s="313" t="s">
        <v>187</v>
      </c>
      <c r="B11" s="310"/>
      <c r="C11" s="311"/>
      <c r="D11" s="311"/>
      <c r="E11" s="311"/>
      <c r="F11" s="312"/>
      <c r="G11" s="311"/>
      <c r="H11" s="5"/>
      <c r="I11" s="311"/>
      <c r="J11" s="311"/>
      <c r="K11" s="311"/>
      <c r="L11" s="312"/>
      <c r="M11" s="311"/>
      <c r="N11" s="5"/>
      <c r="O11" s="311"/>
      <c r="P11" s="311"/>
      <c r="Q11" s="311"/>
      <c r="R11" s="312"/>
      <c r="S11" s="311"/>
      <c r="T11" s="5"/>
      <c r="U11" s="311"/>
      <c r="V11" s="311"/>
      <c r="W11" s="311"/>
      <c r="X11" s="312"/>
      <c r="Y11" s="311"/>
      <c r="Z11" s="5"/>
      <c r="AA11" s="311"/>
      <c r="AB11" s="311"/>
      <c r="AC11" s="311"/>
      <c r="AD11" s="312"/>
      <c r="AE11" s="311"/>
      <c r="AF11"/>
      <c r="AG11"/>
      <c r="AH11"/>
    </row>
    <row r="12" spans="1:34">
      <c r="A12" s="245"/>
      <c r="B12" s="237" t="s">
        <v>147</v>
      </c>
      <c r="C12" s="242"/>
      <c r="D12" s="242"/>
      <c r="E12" s="242"/>
      <c r="F12" s="243"/>
      <c r="G12" s="242">
        <f>SUM(C12:F12)</f>
        <v>0</v>
      </c>
      <c r="H12" s="248"/>
      <c r="I12" s="242"/>
      <c r="J12" s="242"/>
      <c r="K12" s="242"/>
      <c r="L12" s="243"/>
      <c r="M12" s="242">
        <f>SUM(I12:L12)</f>
        <v>0</v>
      </c>
      <c r="N12" s="248"/>
      <c r="O12" s="242"/>
      <c r="P12" s="242"/>
      <c r="Q12" s="242"/>
      <c r="R12" s="243"/>
      <c r="S12" s="242">
        <f>SUM(O12:R12)</f>
        <v>0</v>
      </c>
      <c r="T12" s="248"/>
      <c r="U12" s="242"/>
      <c r="V12" s="242"/>
      <c r="W12" s="242"/>
      <c r="X12" s="243"/>
      <c r="Y12" s="242">
        <f>SUM(U12:X12)</f>
        <v>0</v>
      </c>
      <c r="Z12" s="248"/>
      <c r="AA12" s="242"/>
      <c r="AB12" s="242"/>
      <c r="AC12" s="242"/>
      <c r="AD12" s="243"/>
      <c r="AE12" s="242">
        <f>SUM(AA12:AD12)</f>
        <v>0</v>
      </c>
    </row>
    <row r="13" spans="1:34">
      <c r="A13" s="246"/>
      <c r="B13" s="270" t="s">
        <v>148</v>
      </c>
      <c r="C13" s="242"/>
      <c r="D13" s="242"/>
      <c r="E13" s="242"/>
      <c r="F13" s="243"/>
      <c r="G13" s="242">
        <f>SUM(C13:F13)</f>
        <v>0</v>
      </c>
      <c r="H13" s="244"/>
      <c r="I13" s="242"/>
      <c r="J13" s="242"/>
      <c r="K13" s="242"/>
      <c r="L13" s="243"/>
      <c r="M13" s="242">
        <f>SUM(I13:L13)</f>
        <v>0</v>
      </c>
      <c r="N13" s="244"/>
      <c r="O13" s="242"/>
      <c r="P13" s="242"/>
      <c r="Q13" s="242"/>
      <c r="R13" s="243"/>
      <c r="S13" s="242">
        <f>SUM(O13:R13)</f>
        <v>0</v>
      </c>
      <c r="T13" s="244"/>
      <c r="U13" s="242"/>
      <c r="V13" s="242"/>
      <c r="W13" s="242"/>
      <c r="X13" s="243"/>
      <c r="Y13" s="242">
        <f>SUM(U13:X13)</f>
        <v>0</v>
      </c>
      <c r="Z13" s="244"/>
      <c r="AA13" s="242"/>
      <c r="AB13" s="242"/>
      <c r="AC13" s="242"/>
      <c r="AD13" s="243"/>
      <c r="AE13" s="242">
        <f>SUM(AA13:AD13)</f>
        <v>0</v>
      </c>
    </row>
    <row r="14" spans="1:34" s="268" customFormat="1" ht="13.5" customHeight="1">
      <c r="A14" s="313" t="s">
        <v>150</v>
      </c>
      <c r="B14" s="310"/>
      <c r="C14" s="311"/>
      <c r="D14" s="311"/>
      <c r="E14" s="311"/>
      <c r="F14" s="312"/>
      <c r="G14" s="311"/>
      <c r="H14" s="5"/>
      <c r="I14" s="311"/>
      <c r="J14" s="311"/>
      <c r="K14" s="311"/>
      <c r="L14" s="312"/>
      <c r="M14" s="311"/>
      <c r="N14" s="5"/>
      <c r="O14" s="311"/>
      <c r="P14" s="311"/>
      <c r="Q14" s="311"/>
      <c r="R14" s="312"/>
      <c r="S14" s="311"/>
      <c r="T14" s="5"/>
      <c r="U14" s="311"/>
      <c r="V14" s="311"/>
      <c r="W14" s="311"/>
      <c r="X14" s="312"/>
      <c r="Y14" s="311"/>
      <c r="Z14" s="5"/>
      <c r="AA14" s="311"/>
      <c r="AB14" s="311"/>
      <c r="AC14" s="311"/>
      <c r="AD14" s="312"/>
      <c r="AE14" s="311"/>
      <c r="AF14"/>
      <c r="AG14"/>
      <c r="AH14"/>
    </row>
    <row r="15" spans="1:34">
      <c r="A15" s="245"/>
      <c r="B15" s="237" t="s">
        <v>147</v>
      </c>
      <c r="C15" s="242">
        <f t="shared" ref="C15:G16" si="1">C6+C9+C12</f>
        <v>1036.5999999999999</v>
      </c>
      <c r="D15" s="242">
        <f t="shared" si="1"/>
        <v>568.12599999999998</v>
      </c>
      <c r="E15" s="242">
        <f t="shared" si="1"/>
        <v>832.6</v>
      </c>
      <c r="F15" s="243">
        <f t="shared" si="1"/>
        <v>1279.7850000000001</v>
      </c>
      <c r="G15" s="242">
        <f t="shared" si="1"/>
        <v>3717.1109999999999</v>
      </c>
      <c r="H15" s="248"/>
      <c r="I15" s="242">
        <f t="shared" ref="I15:M16" si="2">I6+I9+I12</f>
        <v>1737.3899999999999</v>
      </c>
      <c r="J15" s="242">
        <f t="shared" si="2"/>
        <v>1001.7204999999999</v>
      </c>
      <c r="K15" s="242">
        <f t="shared" si="2"/>
        <v>1517.05</v>
      </c>
      <c r="L15" s="243">
        <f t="shared" si="2"/>
        <v>2309.6130000000003</v>
      </c>
      <c r="M15" s="242">
        <f t="shared" si="2"/>
        <v>6565.7735000000002</v>
      </c>
      <c r="N15" s="248"/>
      <c r="O15" s="242">
        <f t="shared" ref="O15:S16" si="3">O6+O9+O12</f>
        <v>3031.4324999999999</v>
      </c>
      <c r="P15" s="242">
        <f t="shared" si="3"/>
        <v>1744.0108749999999</v>
      </c>
      <c r="Q15" s="242">
        <f t="shared" si="3"/>
        <v>2645.8375000000001</v>
      </c>
      <c r="R15" s="243">
        <f t="shared" si="3"/>
        <v>4145.3034000000007</v>
      </c>
      <c r="S15" s="242">
        <f t="shared" si="3"/>
        <v>11566.584275000001</v>
      </c>
      <c r="T15" s="248"/>
      <c r="U15" s="242">
        <f t="shared" ref="U15:Y16" si="4">U6+U9+U12</f>
        <v>5290.6068750000004</v>
      </c>
      <c r="V15" s="242">
        <f t="shared" si="4"/>
        <v>2790.4173999999998</v>
      </c>
      <c r="W15" s="242">
        <f t="shared" si="4"/>
        <v>4615.8156250000002</v>
      </c>
      <c r="X15" s="243">
        <f t="shared" si="4"/>
        <v>7442.346120000002</v>
      </c>
      <c r="Y15" s="242">
        <f t="shared" si="4"/>
        <v>20139.186020000001</v>
      </c>
      <c r="Z15" s="248"/>
      <c r="AA15" s="242">
        <f t="shared" ref="AA15:AE16" si="5">AA6+AA9+AA12</f>
        <v>8721.8213437499999</v>
      </c>
      <c r="AB15" s="242">
        <f t="shared" si="5"/>
        <v>4728.3495800000001</v>
      </c>
      <c r="AC15" s="242">
        <f t="shared" si="5"/>
        <v>8054.6373437499997</v>
      </c>
      <c r="AD15" s="243">
        <f t="shared" si="5"/>
        <v>13365.503016000004</v>
      </c>
      <c r="AE15" s="242">
        <f t="shared" si="5"/>
        <v>34870.311283499999</v>
      </c>
    </row>
    <row r="16" spans="1:34" ht="13.5" thickBot="1">
      <c r="A16" s="246"/>
      <c r="B16" s="270" t="s">
        <v>148</v>
      </c>
      <c r="C16" s="255">
        <f t="shared" si="1"/>
        <v>430</v>
      </c>
      <c r="D16" s="255">
        <f t="shared" si="1"/>
        <v>450</v>
      </c>
      <c r="E16" s="255">
        <f t="shared" si="1"/>
        <v>375</v>
      </c>
      <c r="F16" s="256">
        <f t="shared" si="1"/>
        <v>400</v>
      </c>
      <c r="G16" s="255">
        <f t="shared" si="1"/>
        <v>1655</v>
      </c>
      <c r="H16" s="244"/>
      <c r="I16" s="242">
        <f t="shared" si="2"/>
        <v>709.5</v>
      </c>
      <c r="J16" s="242">
        <f t="shared" si="2"/>
        <v>787.5</v>
      </c>
      <c r="K16" s="242">
        <f t="shared" si="2"/>
        <v>656.25</v>
      </c>
      <c r="L16" s="243">
        <f t="shared" si="2"/>
        <v>700</v>
      </c>
      <c r="M16" s="242">
        <f t="shared" si="2"/>
        <v>2853.25</v>
      </c>
      <c r="N16" s="244"/>
      <c r="O16" s="242">
        <f t="shared" si="3"/>
        <v>1135.2</v>
      </c>
      <c r="P16" s="242">
        <f t="shared" si="3"/>
        <v>1260</v>
      </c>
      <c r="Q16" s="242">
        <f t="shared" si="3"/>
        <v>1148.4375</v>
      </c>
      <c r="R16" s="243">
        <f t="shared" si="3"/>
        <v>1260</v>
      </c>
      <c r="S16" s="242">
        <f t="shared" si="3"/>
        <v>4803.6374999999998</v>
      </c>
      <c r="T16" s="244"/>
      <c r="U16" s="242">
        <f t="shared" si="4"/>
        <v>1816.3200000000002</v>
      </c>
      <c r="V16" s="242">
        <f t="shared" si="4"/>
        <v>2016</v>
      </c>
      <c r="W16" s="242">
        <f t="shared" si="4"/>
        <v>1837.5</v>
      </c>
      <c r="X16" s="243">
        <f t="shared" si="4"/>
        <v>2016</v>
      </c>
      <c r="Y16" s="242">
        <f t="shared" si="4"/>
        <v>7685.82</v>
      </c>
      <c r="Z16" s="244"/>
      <c r="AA16" s="242">
        <f t="shared" si="5"/>
        <v>2906.1120000000005</v>
      </c>
      <c r="AB16" s="242">
        <f t="shared" si="5"/>
        <v>3225.6000000000004</v>
      </c>
      <c r="AC16" s="242">
        <f t="shared" si="5"/>
        <v>2940</v>
      </c>
      <c r="AD16" s="243">
        <f t="shared" si="5"/>
        <v>3225.6000000000004</v>
      </c>
      <c r="AE16" s="242">
        <f t="shared" si="5"/>
        <v>12297.312000000002</v>
      </c>
    </row>
    <row r="17" spans="1:32" ht="13.5" thickTop="1">
      <c r="A17" s="240" t="s">
        <v>162</v>
      </c>
      <c r="B17" s="271"/>
      <c r="C17" s="272">
        <f>C15+C16</f>
        <v>1466.6</v>
      </c>
      <c r="D17" s="272">
        <f>D15+D16</f>
        <v>1018.126</v>
      </c>
      <c r="E17" s="272">
        <f>E15+E16</f>
        <v>1207.5999999999999</v>
      </c>
      <c r="F17" s="273">
        <f>F15+F16</f>
        <v>1679.7850000000001</v>
      </c>
      <c r="G17" s="272">
        <f>G15+G16</f>
        <v>5372.1109999999999</v>
      </c>
      <c r="H17" s="274"/>
      <c r="I17" s="275">
        <f>I15+I16</f>
        <v>2446.89</v>
      </c>
      <c r="J17" s="275">
        <f>J15+J16</f>
        <v>1789.2204999999999</v>
      </c>
      <c r="K17" s="275">
        <f>K15+K16</f>
        <v>2173.3000000000002</v>
      </c>
      <c r="L17" s="276">
        <f>L15+L16</f>
        <v>3009.6130000000003</v>
      </c>
      <c r="M17" s="275">
        <f>M15+M16</f>
        <v>9419.0234999999993</v>
      </c>
      <c r="N17" s="274"/>
      <c r="O17" s="275">
        <f>O15+O16</f>
        <v>4166.6324999999997</v>
      </c>
      <c r="P17" s="275">
        <f>P15+P16</f>
        <v>3004.0108749999999</v>
      </c>
      <c r="Q17" s="275">
        <f>Q15+Q16</f>
        <v>3794.2750000000001</v>
      </c>
      <c r="R17" s="276">
        <f>R15+R16</f>
        <v>5405.3034000000007</v>
      </c>
      <c r="S17" s="275">
        <f>S15+S16</f>
        <v>16370.221775000002</v>
      </c>
      <c r="T17" s="274"/>
      <c r="U17" s="275">
        <f>U15+U16</f>
        <v>7106.926875000001</v>
      </c>
      <c r="V17" s="275">
        <f>V15+V16</f>
        <v>4806.4174000000003</v>
      </c>
      <c r="W17" s="275">
        <f>W15+W16</f>
        <v>6453.3156250000002</v>
      </c>
      <c r="X17" s="276">
        <f>X15+X16</f>
        <v>9458.346120000002</v>
      </c>
      <c r="Y17" s="275">
        <f>Y15+Y16</f>
        <v>27825.006020000001</v>
      </c>
      <c r="Z17" s="274"/>
      <c r="AA17" s="275">
        <f>AA15+AA16</f>
        <v>11627.933343750001</v>
      </c>
      <c r="AB17" s="275">
        <f>AB15+AB16</f>
        <v>7953.9495800000004</v>
      </c>
      <c r="AC17" s="275">
        <f>AC15+AC16</f>
        <v>10994.637343750001</v>
      </c>
      <c r="AD17" s="276">
        <f>AD15+AD16</f>
        <v>16591.103016000005</v>
      </c>
      <c r="AE17" s="275">
        <f>AE15+AE16</f>
        <v>47167.623283499997</v>
      </c>
    </row>
    <row r="18" spans="1:32">
      <c r="A18" s="41"/>
      <c r="B18" s="270"/>
      <c r="C18" s="277"/>
      <c r="D18" s="277"/>
      <c r="E18" s="277"/>
      <c r="F18" s="277"/>
      <c r="G18" s="277"/>
      <c r="H18" s="278"/>
      <c r="I18" s="277"/>
      <c r="J18" s="277"/>
      <c r="K18" s="277"/>
      <c r="L18" s="277"/>
      <c r="M18" s="277"/>
      <c r="N18" s="278"/>
      <c r="O18" s="277"/>
      <c r="P18" s="277"/>
      <c r="Q18" s="277"/>
      <c r="R18" s="277"/>
      <c r="S18" s="277"/>
      <c r="T18" s="278"/>
      <c r="U18" s="277"/>
      <c r="V18" s="277"/>
      <c r="W18" s="277"/>
      <c r="X18" s="277"/>
      <c r="Y18" s="277"/>
      <c r="Z18" s="278"/>
      <c r="AA18" s="277"/>
      <c r="AB18" s="277"/>
      <c r="AC18" s="277"/>
      <c r="AD18" s="277"/>
      <c r="AE18" s="277"/>
      <c r="AF18" s="35"/>
    </row>
    <row r="19" spans="1:32">
      <c r="A19" s="35"/>
      <c r="B19" s="270"/>
      <c r="C19" s="279"/>
      <c r="D19" s="279"/>
      <c r="E19" s="279"/>
      <c r="F19" s="279"/>
      <c r="G19" s="280"/>
      <c r="H19" s="280"/>
      <c r="I19" s="279"/>
      <c r="J19" s="279"/>
      <c r="K19" s="279"/>
      <c r="L19" s="279"/>
      <c r="M19" s="280"/>
      <c r="N19" s="280"/>
      <c r="O19" s="279"/>
      <c r="P19" s="279"/>
      <c r="Q19" s="279"/>
      <c r="R19" s="279"/>
      <c r="S19" s="280"/>
      <c r="T19" s="280"/>
      <c r="U19" s="279"/>
      <c r="V19" s="279"/>
      <c r="W19" s="279"/>
      <c r="X19" s="279"/>
      <c r="Y19" s="280"/>
      <c r="Z19" s="280"/>
      <c r="AA19" s="279"/>
      <c r="AB19" s="279"/>
      <c r="AC19" s="279"/>
      <c r="AD19" s="279"/>
      <c r="AE19" s="280"/>
      <c r="AF19" s="35"/>
    </row>
    <row r="20" spans="1:32">
      <c r="A20" s="674" t="s">
        <v>163</v>
      </c>
      <c r="B20" s="675"/>
      <c r="C20" s="678">
        <v>2009</v>
      </c>
      <c r="D20" s="679"/>
      <c r="E20" s="679"/>
      <c r="F20" s="679"/>
      <c r="G20" s="680"/>
      <c r="H20" s="5"/>
      <c r="I20" s="678">
        <v>2010</v>
      </c>
      <c r="J20" s="679"/>
      <c r="K20" s="679"/>
      <c r="L20" s="679"/>
      <c r="M20" s="680"/>
      <c r="N20" s="269"/>
      <c r="O20" s="678">
        <v>2011</v>
      </c>
      <c r="P20" s="679"/>
      <c r="Q20" s="679"/>
      <c r="R20" s="679"/>
      <c r="S20" s="680"/>
      <c r="T20" s="269"/>
      <c r="U20" s="678">
        <v>2012</v>
      </c>
      <c r="V20" s="679"/>
      <c r="W20" s="679"/>
      <c r="X20" s="679"/>
      <c r="Y20" s="680"/>
      <c r="Z20" s="269"/>
      <c r="AA20" s="678">
        <v>2013</v>
      </c>
      <c r="AB20" s="679"/>
      <c r="AC20" s="679"/>
      <c r="AD20" s="679"/>
      <c r="AE20" s="680"/>
    </row>
    <row r="21" spans="1:32">
      <c r="A21" s="676"/>
      <c r="B21" s="677"/>
      <c r="C21" s="250" t="s">
        <v>161</v>
      </c>
      <c r="D21" s="250" t="s">
        <v>158</v>
      </c>
      <c r="E21" s="250" t="s">
        <v>159</v>
      </c>
      <c r="F21" s="235" t="s">
        <v>160</v>
      </c>
      <c r="G21" s="250" t="s">
        <v>150</v>
      </c>
      <c r="H21" s="5"/>
      <c r="I21" s="250" t="s">
        <v>161</v>
      </c>
      <c r="J21" s="250" t="s">
        <v>158</v>
      </c>
      <c r="K21" s="250" t="s">
        <v>159</v>
      </c>
      <c r="L21" s="235" t="s">
        <v>160</v>
      </c>
      <c r="M21" s="250" t="s">
        <v>150</v>
      </c>
      <c r="N21" s="5"/>
      <c r="O21" s="250" t="s">
        <v>161</v>
      </c>
      <c r="P21" s="250" t="s">
        <v>158</v>
      </c>
      <c r="Q21" s="250" t="s">
        <v>159</v>
      </c>
      <c r="R21" s="235" t="s">
        <v>160</v>
      </c>
      <c r="S21" s="250" t="s">
        <v>150</v>
      </c>
      <c r="T21" s="5"/>
      <c r="U21" s="250" t="s">
        <v>161</v>
      </c>
      <c r="V21" s="250" t="s">
        <v>158</v>
      </c>
      <c r="W21" s="250" t="s">
        <v>159</v>
      </c>
      <c r="X21" s="235" t="s">
        <v>160</v>
      </c>
      <c r="Y21" s="250" t="s">
        <v>150</v>
      </c>
      <c r="Z21" s="5"/>
      <c r="AA21" s="250" t="s">
        <v>161</v>
      </c>
      <c r="AB21" s="250" t="s">
        <v>158</v>
      </c>
      <c r="AC21" s="250" t="s">
        <v>159</v>
      </c>
      <c r="AD21" s="235" t="s">
        <v>160</v>
      </c>
      <c r="AE21" s="250" t="s">
        <v>150</v>
      </c>
    </row>
    <row r="22" spans="1:32">
      <c r="A22" s="314">
        <v>0.5</v>
      </c>
      <c r="B22" s="266" t="s">
        <v>176</v>
      </c>
      <c r="C22" s="242">
        <f>(1-A22)*C15/4</f>
        <v>129.57499999999999</v>
      </c>
      <c r="D22" s="242">
        <f>(1-$A$22)*(D15+C15)/4+$A$22*C15/4</f>
        <v>330.16575</v>
      </c>
      <c r="E22" s="242">
        <f>(1-$A$22)*(E15+D15+C15)/4+$A$22*(D15+C15)/4</f>
        <v>505.25649999999996</v>
      </c>
      <c r="F22" s="243">
        <f>(1-$A$22)*(F15+E15+D15+C15)/4+$A$22*(E15+D15+C15)/4</f>
        <v>769.30462499999999</v>
      </c>
      <c r="G22" s="242">
        <f>SUM(C22:F22)</f>
        <v>1734.3018749999999</v>
      </c>
      <c r="H22" s="248"/>
      <c r="I22" s="242">
        <f>(1-$A$22)*(I15+F15+E15+D15)/4+$A$22*(F15+E15+D15+C15)/4</f>
        <v>1016.8765000000001</v>
      </c>
      <c r="J22" s="242">
        <f>(1-$A$22)*(J15+I15+F15+E15)/4+$A$22*(I15+F15+E15+D15)/4</f>
        <v>1158.6745624999999</v>
      </c>
      <c r="K22" s="242">
        <f>(1-$A$22)*(K15+J15+I15+F15)/4+$A$22*(J15+I15+F15+E15)/4</f>
        <v>1298.4301249999999</v>
      </c>
      <c r="L22" s="242">
        <f>(1-$A$22)*(L15+K15+J15+I15)/4+$A$22*(K15+J15+I15+F15)/4</f>
        <v>1512.7148749999999</v>
      </c>
      <c r="M22" s="242">
        <f>SUM(I22:L22)</f>
        <v>4986.6960624999992</v>
      </c>
      <c r="N22" s="248"/>
      <c r="O22" s="242">
        <f>(1-$A$22)*(O15+L15+K15+J15)/4+$A$22*(L15+K15+J15+I15)/4</f>
        <v>1803.1986875</v>
      </c>
      <c r="P22" s="242">
        <f>(1-$A$22)*(P15+O15+L15+K15)/4+$A$22*(O15+L15+K15+J15)/4</f>
        <v>2057.7402968750002</v>
      </c>
      <c r="Q22" s="242">
        <f>(1-$A$22)*(Q15+P15+O15+L15)/4+$A$22*(P15+O15+L15+K15)/4</f>
        <v>2291.6250312499997</v>
      </c>
      <c r="R22" s="243">
        <f>(1-$A$22)*(R15+Q15+P15+O15)/4+$A$22*(Q15+P15+O15+L15)/4</f>
        <v>2662.1847687500003</v>
      </c>
      <c r="S22" s="242">
        <f>SUM(O22:R22)</f>
        <v>8814.7487843750005</v>
      </c>
      <c r="T22" s="248"/>
      <c r="U22" s="242">
        <f>(1-$A$22)*(U15+R15+Q15+P15)/4+$A$22*(R15+Q15+P15+O15)/4</f>
        <v>3174.0428656250006</v>
      </c>
      <c r="V22" s="242">
        <f>(1-$A$22)*(V15+U15+R15+Q15)/4+$A$22*(U15+R15+Q15+P15)/4</f>
        <v>3587.2404781250002</v>
      </c>
      <c r="W22" s="242">
        <f>(1-$A$22)*(W15+V15+U15+R15)/4+$A$22*(V15+U15+R15+Q15)/4</f>
        <v>3964.2885593749997</v>
      </c>
      <c r="X22" s="243">
        <f>(1-$A$22)*(X15+W15+V15+U15)/4+$A$22*(W15+V15+U15+R15)/4</f>
        <v>4622.6661650000005</v>
      </c>
      <c r="Y22" s="242">
        <f>SUM(U22:X22)</f>
        <v>15348.238068125002</v>
      </c>
      <c r="Z22" s="248"/>
      <c r="AA22" s="242">
        <f>(1-$A$22)*(AA15+X15+W15+V15)/4+$A$22*(X15+W15+V15+U15)/4</f>
        <v>5463.6983135937498</v>
      </c>
      <c r="AB22" s="242">
        <f>(1-$A$22)*(AB15+AA15+X15+W15)/4+$A$22*(AA15+X15+W15+V15)/4</f>
        <v>6134.8416446874999</v>
      </c>
      <c r="AC22" s="242">
        <f>(1-$A$22)*(AC15+AB15+AA15+X15)/4+$A$22*(AB15+AA15+X15+W15)/4</f>
        <v>6806.93588203125</v>
      </c>
      <c r="AD22" s="243">
        <f>(1-$A$22)*(AD15+AC15+AB15+AA15)/4+$A$22*(AC15+AB15+AA15+X15)/4</f>
        <v>7977.1832088750007</v>
      </c>
      <c r="AE22" s="242">
        <f>SUM(AA22:AD22)</f>
        <v>26382.659049187503</v>
      </c>
    </row>
    <row r="23" spans="1:32" ht="15.75" customHeight="1" thickBot="1">
      <c r="A23" s="314">
        <v>0.5</v>
      </c>
      <c r="B23" s="266" t="s">
        <v>177</v>
      </c>
      <c r="C23" s="255">
        <f>(1-$A$23)*C16</f>
        <v>215</v>
      </c>
      <c r="D23" s="255">
        <f>(1-$A$23)*D16+$A$23*C16</f>
        <v>440</v>
      </c>
      <c r="E23" s="255">
        <f>(1-$A$23)*E16+$A$23*D16</f>
        <v>412.5</v>
      </c>
      <c r="F23" s="256">
        <f>(1-$A$23)*F16+$A$23*E16</f>
        <v>387.5</v>
      </c>
      <c r="G23" s="255">
        <f>SUM(C23:F23)</f>
        <v>1455</v>
      </c>
      <c r="H23" s="248"/>
      <c r="I23" s="255">
        <f>(1-$A$23)*I16+$A$23*G16</f>
        <v>1182.25</v>
      </c>
      <c r="J23" s="255">
        <f>(1-$A$23)*J16+$A$23*I16</f>
        <v>748.5</v>
      </c>
      <c r="K23" s="255">
        <f>(1-$A$23)*K16+$A$23*J16</f>
        <v>721.875</v>
      </c>
      <c r="L23" s="256">
        <f>(1-$A$23)*L16+$A$23*K16</f>
        <v>678.125</v>
      </c>
      <c r="M23" s="255">
        <f>SUM(I23:L23)</f>
        <v>3330.75</v>
      </c>
      <c r="N23" s="248"/>
      <c r="O23" s="255">
        <f>(1-$A$23)*O16+$A$23*M16</f>
        <v>1994.2249999999999</v>
      </c>
      <c r="P23" s="255">
        <f>(1-$A$23)*P16+$A$23*O16</f>
        <v>1197.5999999999999</v>
      </c>
      <c r="Q23" s="255">
        <f>(1-$A$23)*Q16+$A$23*P16</f>
        <v>1204.21875</v>
      </c>
      <c r="R23" s="256">
        <f>(1-$A$23)*R16+$A$23*Q16</f>
        <v>1204.21875</v>
      </c>
      <c r="S23" s="255">
        <f>SUM(O23:R23)</f>
        <v>5600.2624999999998</v>
      </c>
      <c r="T23" s="248"/>
      <c r="U23" s="255">
        <f>(1-$A$23)*U16+$A$23*S16</f>
        <v>3309.9787500000002</v>
      </c>
      <c r="V23" s="255">
        <f>(1-$A$23)*V16+$A$23*U16</f>
        <v>1916.16</v>
      </c>
      <c r="W23" s="255">
        <f>(1-$A$23)*W16+$A$23*V16</f>
        <v>1926.75</v>
      </c>
      <c r="X23" s="256">
        <f>(1-$A$23)*X16+$A$23*W16</f>
        <v>1926.75</v>
      </c>
      <c r="Y23" s="255">
        <f>SUM(U23:X23)</f>
        <v>9079.6387500000001</v>
      </c>
      <c r="Z23" s="248"/>
      <c r="AA23" s="255">
        <f>(1-$A$23)*AA16+$A$23*Y16</f>
        <v>5295.9660000000003</v>
      </c>
      <c r="AB23" s="255">
        <f>(1-$A$23)*AB16+$A$23*AA16</f>
        <v>3065.8560000000007</v>
      </c>
      <c r="AC23" s="255">
        <f>(1-$A$23)*AC16+$A$23*AB16</f>
        <v>3082.8</v>
      </c>
      <c r="AD23" s="256">
        <f>(1-$A$23)*AD16+$A$23*AC16</f>
        <v>3082.8</v>
      </c>
      <c r="AE23" s="255">
        <f>SUM(AA23:AD23)</f>
        <v>14527.421999999999</v>
      </c>
    </row>
    <row r="24" spans="1:32" ht="15.75" customHeight="1" thickTop="1">
      <c r="A24" s="240" t="s">
        <v>164</v>
      </c>
      <c r="B24" s="281"/>
      <c r="C24" s="272">
        <f>C22+C23</f>
        <v>344.57499999999999</v>
      </c>
      <c r="D24" s="272">
        <f>D22+D23</f>
        <v>770.16575</v>
      </c>
      <c r="E24" s="272">
        <f>E22+E23</f>
        <v>917.75649999999996</v>
      </c>
      <c r="F24" s="273">
        <f>F22+F23</f>
        <v>1156.804625</v>
      </c>
      <c r="G24" s="275">
        <f>G22+G23</f>
        <v>3189.3018750000001</v>
      </c>
      <c r="H24" s="274"/>
      <c r="I24" s="272">
        <f>I22+I23</f>
        <v>2199.1265000000003</v>
      </c>
      <c r="J24" s="272">
        <f>J22+J23</f>
        <v>1907.1745624999999</v>
      </c>
      <c r="K24" s="272">
        <f>K22+K23</f>
        <v>2020.3051249999999</v>
      </c>
      <c r="L24" s="273">
        <f>L22+L23</f>
        <v>2190.8398749999997</v>
      </c>
      <c r="M24" s="275">
        <f>M22+M23</f>
        <v>8317.4460624999992</v>
      </c>
      <c r="N24" s="274"/>
      <c r="O24" s="272">
        <f>O22+O23</f>
        <v>3797.4236874999997</v>
      </c>
      <c r="P24" s="272">
        <f>P22+P23</f>
        <v>3255.3402968750001</v>
      </c>
      <c r="Q24" s="272">
        <f>Q22+Q23</f>
        <v>3495.8437812499997</v>
      </c>
      <c r="R24" s="273">
        <f>R22+R23</f>
        <v>3866.4035187500003</v>
      </c>
      <c r="S24" s="275">
        <f>S22+S23</f>
        <v>14415.011284374999</v>
      </c>
      <c r="T24" s="274"/>
      <c r="U24" s="272">
        <f>U22+U23</f>
        <v>6484.0216156250008</v>
      </c>
      <c r="V24" s="272">
        <f>V22+V23</f>
        <v>5503.4004781250005</v>
      </c>
      <c r="W24" s="272">
        <f>W22+W23</f>
        <v>5891.0385593749997</v>
      </c>
      <c r="X24" s="273">
        <f>X22+X23</f>
        <v>6549.4161650000005</v>
      </c>
      <c r="Y24" s="275">
        <f>Y22+Y23</f>
        <v>24427.876818125002</v>
      </c>
      <c r="Z24" s="274"/>
      <c r="AA24" s="272">
        <f>AA22+AA23</f>
        <v>10759.66431359375</v>
      </c>
      <c r="AB24" s="272">
        <f>AB22+AB23</f>
        <v>9200.6976446875015</v>
      </c>
      <c r="AC24" s="272">
        <f>AC22+AC23</f>
        <v>9889.7358820312511</v>
      </c>
      <c r="AD24" s="273">
        <f>AD22+AD23</f>
        <v>11059.983208875001</v>
      </c>
      <c r="AE24" s="275">
        <f>AE22+AE23</f>
        <v>40910.081049187502</v>
      </c>
    </row>
    <row r="25" spans="1:32">
      <c r="A25" s="41"/>
      <c r="B25" s="172"/>
      <c r="C25" s="277"/>
      <c r="D25" s="277"/>
      <c r="E25" s="277"/>
      <c r="F25" s="277"/>
      <c r="G25" s="277"/>
      <c r="H25" s="278"/>
      <c r="I25" s="277"/>
      <c r="J25" s="277"/>
      <c r="K25" s="277"/>
      <c r="L25" s="277"/>
      <c r="M25" s="277"/>
      <c r="N25" s="278"/>
      <c r="O25" s="277"/>
      <c r="P25" s="277"/>
      <c r="Q25" s="277"/>
      <c r="R25" s="277"/>
      <c r="S25" s="277"/>
      <c r="T25" s="278"/>
      <c r="U25" s="277"/>
      <c r="V25" s="277"/>
      <c r="W25" s="277"/>
      <c r="X25" s="277"/>
      <c r="Y25" s="277"/>
      <c r="Z25" s="278"/>
      <c r="AA25" s="277"/>
      <c r="AB25" s="277"/>
      <c r="AC25" s="277"/>
      <c r="AD25" s="277"/>
      <c r="AE25" s="277"/>
      <c r="AF25" s="35"/>
    </row>
    <row r="26" spans="1:32">
      <c r="A26" s="238"/>
      <c r="B26" s="281"/>
      <c r="C26" s="282"/>
      <c r="D26" s="282"/>
      <c r="E26" s="282"/>
      <c r="F26" s="282"/>
      <c r="G26" s="282"/>
      <c r="H26" s="236"/>
      <c r="I26" s="282"/>
      <c r="J26" s="282"/>
      <c r="K26" s="282"/>
      <c r="L26" s="282"/>
      <c r="M26" s="282"/>
      <c r="N26" s="236"/>
      <c r="O26" s="282"/>
      <c r="P26" s="282"/>
      <c r="Q26" s="282"/>
      <c r="R26" s="282"/>
      <c r="S26" s="282"/>
      <c r="T26" s="236"/>
      <c r="U26" s="282"/>
      <c r="V26" s="282"/>
      <c r="W26" s="282"/>
      <c r="X26" s="282"/>
      <c r="Y26" s="282"/>
      <c r="Z26" s="236"/>
      <c r="AA26" s="282"/>
      <c r="AB26" s="282"/>
      <c r="AC26" s="282"/>
      <c r="AD26" s="282"/>
      <c r="AE26" s="282"/>
    </row>
    <row r="27" spans="1:32">
      <c r="A27" s="674" t="s">
        <v>180</v>
      </c>
      <c r="B27" s="681"/>
      <c r="C27" s="678">
        <v>2009</v>
      </c>
      <c r="D27" s="679"/>
      <c r="E27" s="679"/>
      <c r="F27" s="679"/>
      <c r="G27" s="680"/>
      <c r="H27" s="5"/>
      <c r="I27" s="678">
        <v>2010</v>
      </c>
      <c r="J27" s="679"/>
      <c r="K27" s="679"/>
      <c r="L27" s="679"/>
      <c r="M27" s="680"/>
      <c r="N27" s="269"/>
      <c r="O27" s="678">
        <v>2011</v>
      </c>
      <c r="P27" s="679"/>
      <c r="Q27" s="679"/>
      <c r="R27" s="679"/>
      <c r="S27" s="680"/>
      <c r="T27" s="269"/>
      <c r="U27" s="678">
        <v>2012</v>
      </c>
      <c r="V27" s="679"/>
      <c r="W27" s="679"/>
      <c r="X27" s="679"/>
      <c r="Y27" s="680"/>
      <c r="Z27" s="269"/>
      <c r="AA27" s="678">
        <v>2013</v>
      </c>
      <c r="AB27" s="679"/>
      <c r="AC27" s="679"/>
      <c r="AD27" s="679"/>
      <c r="AE27" s="680"/>
    </row>
    <row r="28" spans="1:32">
      <c r="A28" s="676"/>
      <c r="B28" s="682"/>
      <c r="C28" s="250" t="s">
        <v>161</v>
      </c>
      <c r="D28" s="250" t="s">
        <v>158</v>
      </c>
      <c r="E28" s="250" t="s">
        <v>159</v>
      </c>
      <c r="F28" s="235" t="s">
        <v>160</v>
      </c>
      <c r="G28" s="250" t="s">
        <v>181</v>
      </c>
      <c r="H28" s="5"/>
      <c r="I28" s="250" t="s">
        <v>161</v>
      </c>
      <c r="J28" s="250" t="s">
        <v>158</v>
      </c>
      <c r="K28" s="250" t="s">
        <v>159</v>
      </c>
      <c r="L28" s="235" t="s">
        <v>160</v>
      </c>
      <c r="M28" s="250" t="s">
        <v>181</v>
      </c>
      <c r="N28" s="5"/>
      <c r="O28" s="250" t="s">
        <v>161</v>
      </c>
      <c r="P28" s="250" t="s">
        <v>158</v>
      </c>
      <c r="Q28" s="250" t="s">
        <v>159</v>
      </c>
      <c r="R28" s="235" t="s">
        <v>160</v>
      </c>
      <c r="S28" s="250" t="s">
        <v>181</v>
      </c>
      <c r="T28" s="5"/>
      <c r="U28" s="250" t="s">
        <v>161</v>
      </c>
      <c r="V28" s="250" t="s">
        <v>158</v>
      </c>
      <c r="W28" s="250" t="s">
        <v>159</v>
      </c>
      <c r="X28" s="235" t="s">
        <v>160</v>
      </c>
      <c r="Y28" s="250" t="s">
        <v>181</v>
      </c>
      <c r="Z28" s="5"/>
      <c r="AA28" s="250" t="s">
        <v>161</v>
      </c>
      <c r="AB28" s="250" t="s">
        <v>158</v>
      </c>
      <c r="AC28" s="250" t="s">
        <v>159</v>
      </c>
      <c r="AD28" s="235" t="s">
        <v>160</v>
      </c>
      <c r="AE28" s="250" t="s">
        <v>181</v>
      </c>
    </row>
    <row r="29" spans="1:32">
      <c r="A29" s="251"/>
      <c r="B29" s="283" t="s">
        <v>165</v>
      </c>
      <c r="C29" s="284">
        <f>'CASH FLOW'!D62/1000</f>
        <v>400</v>
      </c>
      <c r="D29" s="247">
        <f>C34</f>
        <v>359.98476500000015</v>
      </c>
      <c r="E29" s="247">
        <f>D34</f>
        <v>397.50978220893558</v>
      </c>
      <c r="F29" s="285">
        <f>E34</f>
        <v>-30.032277565355116</v>
      </c>
      <c r="G29" s="254">
        <f>C29</f>
        <v>400</v>
      </c>
      <c r="H29" s="286"/>
      <c r="I29" s="247">
        <f>F34</f>
        <v>558.94808751714822</v>
      </c>
      <c r="J29" s="247">
        <f>I34</f>
        <v>4333.9775893921487</v>
      </c>
      <c r="K29" s="247">
        <f>J34</f>
        <v>7846.6864187820966</v>
      </c>
      <c r="L29" s="285">
        <f>K34</f>
        <v>11324.252112278173</v>
      </c>
      <c r="M29" s="254">
        <f>I29</f>
        <v>558.94808751714822</v>
      </c>
      <c r="N29" s="286"/>
      <c r="O29" s="247">
        <f>L34</f>
        <v>15657.308094060356</v>
      </c>
      <c r="P29" s="247">
        <f>O34</f>
        <v>21906.455275779106</v>
      </c>
      <c r="Q29" s="247">
        <f>P34</f>
        <v>27529.44692907904</v>
      </c>
      <c r="R29" s="285">
        <f>Q34</f>
        <v>32996.93631688664</v>
      </c>
      <c r="S29" s="254">
        <f>O29</f>
        <v>15657.308094060356</v>
      </c>
      <c r="T29" s="286"/>
      <c r="U29" s="247">
        <f>R34</f>
        <v>39958.640591239367</v>
      </c>
      <c r="V29" s="247">
        <f>U34</f>
        <v>49995.601397473743</v>
      </c>
      <c r="W29" s="247">
        <f>V34</f>
        <v>58641.227755013657</v>
      </c>
      <c r="X29" s="285">
        <f>W34</f>
        <v>67114.193075913528</v>
      </c>
      <c r="Y29" s="254">
        <f>U29</f>
        <v>39958.640591239367</v>
      </c>
      <c r="Z29" s="286"/>
      <c r="AA29" s="247">
        <f>X34</f>
        <v>78331.309274572079</v>
      </c>
      <c r="AB29" s="247">
        <f>AA34</f>
        <v>94119.504017426763</v>
      </c>
      <c r="AC29" s="247">
        <f>AB34</f>
        <v>107476.04403007866</v>
      </c>
      <c r="AD29" s="285">
        <f>AC34</f>
        <v>120844.51359789849</v>
      </c>
      <c r="AE29" s="254">
        <f>AA29</f>
        <v>78331.309274572079</v>
      </c>
    </row>
    <row r="30" spans="1:32" ht="15.75" customHeight="1">
      <c r="A30" s="262">
        <v>0.66</v>
      </c>
      <c r="B30" s="241" t="s">
        <v>167</v>
      </c>
      <c r="C30" s="287">
        <f>(SUM('CASH FLOW'!D13:E16)+SUM('CASH FLOW'!D19:F19)+SUM('CASH FLOW'!D21:F21))/1000</f>
        <v>1039.8869999999999</v>
      </c>
      <c r="D30" s="287">
        <f>(SUM('CASH FLOW'!G19:I19)+SUM('CASH FLOW'!G21:I21))/1000</f>
        <v>919.4</v>
      </c>
      <c r="E30" s="287">
        <f>(SUM('CASH FLOW'!J19:L19)+SUM('CASH FLOW'!J21:L21))/1000</f>
        <v>425.51600000000002</v>
      </c>
      <c r="F30" s="287">
        <f>(SUM('CASH FLOW'!M19:O19)+SUM('CASH FLOW'!M21:O21))/1000</f>
        <v>1571.2</v>
      </c>
      <c r="G30" s="290">
        <f>SUM(C30:F30)</f>
        <v>3956.0029999999997</v>
      </c>
      <c r="H30" s="291"/>
      <c r="I30" s="292">
        <f>$A$30*I15+(1-$A$30)*F15</f>
        <v>1581.8043</v>
      </c>
      <c r="J30" s="292">
        <f>$A$30*J15+(1-$A$30)*I15</f>
        <v>1251.8481299999999</v>
      </c>
      <c r="K30" s="292">
        <f>$A$30*K15+(1-$A$30)*J15</f>
        <v>1341.83797</v>
      </c>
      <c r="L30" s="289">
        <f>$A$30*L15+(1-$A$30)*K15</f>
        <v>2040.14158</v>
      </c>
      <c r="M30" s="290">
        <f>SUM(I30:L30)</f>
        <v>6215.6319800000001</v>
      </c>
      <c r="N30" s="291"/>
      <c r="O30" s="292">
        <f>$A$30*O15+(1-$A$30)*L15</f>
        <v>2786.0138700000002</v>
      </c>
      <c r="P30" s="292">
        <f>$A$30*P15+(1-$A$30)*O15</f>
        <v>2181.7342275000001</v>
      </c>
      <c r="Q30" s="292">
        <f>$A$30*Q15+(1-$A$30)*P15</f>
        <v>2339.2164475</v>
      </c>
      <c r="R30" s="289">
        <f>$A$30*R15+(1-$A$30)*Q15</f>
        <v>3635.4849940000004</v>
      </c>
      <c r="S30" s="290">
        <f>SUM(O30:R30)</f>
        <v>10942.449539000001</v>
      </c>
      <c r="T30" s="291"/>
      <c r="U30" s="292">
        <f>$A$30*U15+(1-$A$30)*R15</f>
        <v>4901.2036935000006</v>
      </c>
      <c r="V30" s="292">
        <f>$A$30*V15+(1-$A$30)*U15</f>
        <v>3640.4818214999996</v>
      </c>
      <c r="W30" s="292">
        <f>$A$30*W15+(1-$A$30)*V15</f>
        <v>3995.1802285000003</v>
      </c>
      <c r="X30" s="289">
        <f>$A$30*X15+(1-$A$30)*W15</f>
        <v>6481.3257517000011</v>
      </c>
      <c r="Y30" s="290">
        <f>SUM(U30:X30)</f>
        <v>19018.191495200004</v>
      </c>
      <c r="Z30" s="291"/>
      <c r="AA30" s="292">
        <f>$A$30*AA15+(1-$A$30)*X15</f>
        <v>8286.7997676750001</v>
      </c>
      <c r="AB30" s="292">
        <f>$A$30*AB15+(1-$A$30)*AA15</f>
        <v>6086.129979674999</v>
      </c>
      <c r="AC30" s="292">
        <f>$A$30*AC15+(1-$A$30)*AB15</f>
        <v>6923.6995040749998</v>
      </c>
      <c r="AD30" s="289">
        <f>$A$30*AD15+(1-$A$30)*AC15</f>
        <v>11559.808687435003</v>
      </c>
      <c r="AE30" s="290">
        <f>SUM(AA30:AD30)</f>
        <v>32856.437938859999</v>
      </c>
    </row>
    <row r="31" spans="1:32" ht="15.75" customHeight="1">
      <c r="A31" s="262">
        <v>0.66</v>
      </c>
      <c r="B31" s="241" t="s">
        <v>168</v>
      </c>
      <c r="C31" s="287">
        <f>(+SUM('CASH FLOW'!D22:F22))/1000</f>
        <v>265</v>
      </c>
      <c r="D31" s="287">
        <f>(+SUM('CASH FLOW'!E22:G22))/1000</f>
        <v>410</v>
      </c>
      <c r="E31" s="287">
        <f>(+SUM('CASH FLOW'!F22:H22))/1000</f>
        <v>440</v>
      </c>
      <c r="F31" s="287">
        <f>(+SUM('CASH FLOW'!G22:I22))/1000</f>
        <v>450</v>
      </c>
      <c r="G31" s="290">
        <f>SUM(C31:F31)</f>
        <v>1565</v>
      </c>
      <c r="H31" s="291"/>
      <c r="I31" s="292">
        <f>$A$31*I23+(1-$A$31)*F23</f>
        <v>912.03500000000008</v>
      </c>
      <c r="J31" s="292">
        <f>$A$31*J23+(1-$A$31)*I23</f>
        <v>895.97500000000002</v>
      </c>
      <c r="K31" s="292">
        <f>$A$31*K23+(1-$A$31)*J23</f>
        <v>730.92750000000001</v>
      </c>
      <c r="L31" s="289">
        <f>$A$31*L23+(1-$A$31)*K23</f>
        <v>693</v>
      </c>
      <c r="M31" s="290">
        <f>SUM(I31:L31)</f>
        <v>3231.9375</v>
      </c>
      <c r="N31" s="291"/>
      <c r="O31" s="292">
        <f>$A$31*O23+(1-$A$31)*L23</f>
        <v>1546.751</v>
      </c>
      <c r="P31" s="292">
        <f>$A$31*P23+(1-$A$31)*O23</f>
        <v>1468.4524999999999</v>
      </c>
      <c r="Q31" s="292">
        <f>$A$31*Q23+(1-$A$31)*P23</f>
        <v>1201.9683749999999</v>
      </c>
      <c r="R31" s="289">
        <f>$A$31*R23+(1-$A$31)*Q23</f>
        <v>1204.21875</v>
      </c>
      <c r="S31" s="290">
        <f>SUM(O31:R31)</f>
        <v>5421.390625</v>
      </c>
      <c r="T31" s="291"/>
      <c r="U31" s="292">
        <f>$A$31*U23+(1-$A$31)*R23</f>
        <v>2594.0203500000002</v>
      </c>
      <c r="V31" s="292">
        <f>$A$31*V23+(1-$A$31)*U23</f>
        <v>2390.0583750000001</v>
      </c>
      <c r="W31" s="292">
        <f>$A$31*W23+(1-$A$31)*V23</f>
        <v>1923.1493999999998</v>
      </c>
      <c r="X31" s="289">
        <f>$A$31*X23+(1-$A$31)*W23</f>
        <v>1926.75</v>
      </c>
      <c r="Y31" s="290">
        <f>SUM(U31:X31)</f>
        <v>8833.9781249999996</v>
      </c>
      <c r="Z31" s="291"/>
      <c r="AA31" s="292">
        <f>$A$31*AA23+(1-$A$31)*X23</f>
        <v>4150.4325600000002</v>
      </c>
      <c r="AB31" s="292">
        <f>$A$31*AB23+(1-$A$31)*AA23</f>
        <v>3824.0934000000007</v>
      </c>
      <c r="AC31" s="292">
        <f>$A$31*AC23+(1-$A$31)*AB23</f>
        <v>3077.0390400000006</v>
      </c>
      <c r="AD31" s="289">
        <f>$A$31*AD23+(1-$A$31)*AC23</f>
        <v>3082.8</v>
      </c>
      <c r="AE31" s="290">
        <f>SUM(AA31:AD31)</f>
        <v>14134.365000000002</v>
      </c>
    </row>
    <row r="32" spans="1:32" ht="13.5" thickBot="1">
      <c r="A32" s="262">
        <v>0.9</v>
      </c>
      <c r="B32" s="241" t="s">
        <v>169</v>
      </c>
      <c r="C32" s="417">
        <f>(SUM('CASH FLOW'!D6:F6)-SUM('CASH FLOW'!D57:F57))/1000</f>
        <v>-1344.9022349999998</v>
      </c>
      <c r="D32" s="417">
        <f>-SUM('CASH FLOW'!G57:I57)/1000</f>
        <v>-1291.8749827910647</v>
      </c>
      <c r="E32" s="417">
        <f>-SUM('CASH FLOW'!J57:L57)/1000</f>
        <v>-1293.0580597742908</v>
      </c>
      <c r="F32" s="417">
        <f>-SUM('CASH FLOW'!M57:O57)/1000</f>
        <v>-1432.2196349174967</v>
      </c>
      <c r="G32" s="418">
        <f>SUM(C32:F32)</f>
        <v>-5362.0549124828522</v>
      </c>
      <c r="H32" s="291"/>
      <c r="I32" s="417">
        <f>$A$32*SUM(I41:I45)+(1=$A$32)*SUM(F41:F45)</f>
        <v>1281.190201875</v>
      </c>
      <c r="J32" s="419">
        <f>$A$32*SUM(J41:J45)+(1=$A$32)*SUM(I41:I45)</f>
        <v>1364.8856993899481</v>
      </c>
      <c r="K32" s="419">
        <f>$A$32*SUM(K41:K45)+(1=$A$32)*SUM(J41:J45)</f>
        <v>1404.800223496077</v>
      </c>
      <c r="L32" s="420">
        <f>$A$32*SUM(L41:L45)+(1=$A$32)*SUM(K41:K45)</f>
        <v>1599.9144017821836</v>
      </c>
      <c r="M32" s="418">
        <f>SUM(I32:L32)</f>
        <v>5650.7905265432082</v>
      </c>
      <c r="N32" s="291"/>
      <c r="O32" s="417">
        <f>$A$32*SUM(O41:O45)+(1=$A$32)*SUM(L41:L45)</f>
        <v>1916.3823117187501</v>
      </c>
      <c r="P32" s="419">
        <f>$A$32*SUM(P41:P45)+(1=$A$32)*SUM(O41:O45)</f>
        <v>1972.8049257999351</v>
      </c>
      <c r="Q32" s="419">
        <f>$A$32*SUM(Q41:Q45)+(1=$A$32)*SUM(P41:P45)</f>
        <v>1926.304565307596</v>
      </c>
      <c r="R32" s="420">
        <f>$A$32*SUM(R41:R45)+(1=$A$32)*SUM(Q41:Q45)</f>
        <v>2122.00053035273</v>
      </c>
      <c r="S32" s="418">
        <f>SUM(O32:R32)</f>
        <v>7937.4923331790105</v>
      </c>
      <c r="T32" s="291"/>
      <c r="U32" s="417">
        <f>$A$32*SUM(U41:U45)+(1=$A$32)*SUM(R41:R45)</f>
        <v>2541.7367627343751</v>
      </c>
      <c r="V32" s="419">
        <f>$A$32*SUM(V41:V45)+(1=$A$32)*SUM(U41:U45)</f>
        <v>2615.0861610399156</v>
      </c>
      <c r="W32" s="419">
        <f>$A$32*SUM(W41:W45)+(1=$A$32)*SUM(V41:V45)</f>
        <v>2554.6356923998751</v>
      </c>
      <c r="X32" s="420">
        <f>$A$32*SUM(X41:X45)+(1=$A$32)*SUM(W41:W45)</f>
        <v>2809.0404469585483</v>
      </c>
      <c r="Y32" s="418">
        <f>SUM(U32:X32)</f>
        <v>10520.499063132715</v>
      </c>
      <c r="Z32" s="291"/>
      <c r="AA32" s="417">
        <f>$A$32*SUM(AA41:AA45)+(1=$A$32)*SUM(X41:X45)</f>
        <v>3350.9624151796879</v>
      </c>
      <c r="AB32" s="419">
        <f>$A$32*SUM(AB41:AB45)+(1=$A$32)*SUM(AA41:AA45)</f>
        <v>3446.3166329768906</v>
      </c>
      <c r="AC32" s="419">
        <f>$A$32*SUM(AC41:AC45)+(1=$A$32)*SUM(AB41:AB45)</f>
        <v>3367.7310237448382</v>
      </c>
      <c r="AD32" s="420">
        <f>$A$32*SUM(AD41:AD45)+(1=$A$32)*SUM(AC41:AC45)</f>
        <v>3698.4572046711132</v>
      </c>
      <c r="AE32" s="418">
        <f>SUM(AA32:AD32)</f>
        <v>13863.46727657253</v>
      </c>
    </row>
    <row r="33" spans="1:32" ht="13.5" thickBot="1">
      <c r="A33" s="252"/>
      <c r="B33" s="283" t="s">
        <v>166</v>
      </c>
      <c r="C33" s="293">
        <f>C30+C31+C32</f>
        <v>-40.015234999999848</v>
      </c>
      <c r="D33" s="294">
        <f>D30+D31+D32</f>
        <v>37.525017208935424</v>
      </c>
      <c r="E33" s="294">
        <f>E30+E31+E32</f>
        <v>-427.54205977429069</v>
      </c>
      <c r="F33" s="295">
        <f>F30+F31+F32</f>
        <v>588.98036508250334</v>
      </c>
      <c r="G33" s="295">
        <f>G30+G31+G32</f>
        <v>158.94808751714754</v>
      </c>
      <c r="H33" s="291"/>
      <c r="I33" s="294">
        <f>I30+I31+I32</f>
        <v>3775.0295018750003</v>
      </c>
      <c r="J33" s="294">
        <f>J30+J31+J32</f>
        <v>3512.7088293899478</v>
      </c>
      <c r="K33" s="294">
        <f>K30+K31+K32</f>
        <v>3477.5656934960771</v>
      </c>
      <c r="L33" s="295">
        <f>L30+L31+L32</f>
        <v>4333.0559817821832</v>
      </c>
      <c r="M33" s="295">
        <f>M30+M31+M32</f>
        <v>15098.360006543207</v>
      </c>
      <c r="N33" s="291"/>
      <c r="O33" s="294">
        <f>O30+O31+O32</f>
        <v>6249.1471817187503</v>
      </c>
      <c r="P33" s="294">
        <f>P30+P31+P32</f>
        <v>5622.991653299935</v>
      </c>
      <c r="Q33" s="294">
        <f>Q30+Q31+Q32</f>
        <v>5467.4893878075964</v>
      </c>
      <c r="R33" s="295">
        <f>R30+R31+R32</f>
        <v>6961.7042743527309</v>
      </c>
      <c r="S33" s="295">
        <f>S30+S31+S32</f>
        <v>24301.332497179013</v>
      </c>
      <c r="T33" s="291"/>
      <c r="U33" s="294">
        <f>U30+U31+U32</f>
        <v>10036.960806234376</v>
      </c>
      <c r="V33" s="294">
        <f>V30+V31+V32</f>
        <v>8645.6263575399153</v>
      </c>
      <c r="W33" s="294">
        <f>W30+W31+W32</f>
        <v>8472.9653208998752</v>
      </c>
      <c r="X33" s="295">
        <f>X30+X31+X32</f>
        <v>11217.11619865855</v>
      </c>
      <c r="Y33" s="295">
        <f>Y30+Y31+Y32</f>
        <v>38372.668683332719</v>
      </c>
      <c r="Z33" s="291"/>
      <c r="AA33" s="294">
        <f>AA30+AA31+AA32</f>
        <v>15788.194742854688</v>
      </c>
      <c r="AB33" s="294">
        <f>AB30+AB31+AB32</f>
        <v>13356.540012651891</v>
      </c>
      <c r="AC33" s="294">
        <f>AC30+AC31+AC32</f>
        <v>13368.469567819839</v>
      </c>
      <c r="AD33" s="295">
        <f>AD30+AD31+AD32</f>
        <v>18341.065892106119</v>
      </c>
      <c r="AE33" s="295">
        <f>AE30+AE31+AE32</f>
        <v>60854.270215432523</v>
      </c>
    </row>
    <row r="34" spans="1:32" ht="13.5" thickTop="1">
      <c r="A34" s="240" t="s">
        <v>182</v>
      </c>
      <c r="B34" s="296"/>
      <c r="C34" s="284">
        <f>C29+C33</f>
        <v>359.98476500000015</v>
      </c>
      <c r="D34" s="247">
        <f>D29+D33</f>
        <v>397.50978220893558</v>
      </c>
      <c r="E34" s="247">
        <f>E29+E33</f>
        <v>-30.032277565355116</v>
      </c>
      <c r="F34" s="285">
        <f>F29+F33</f>
        <v>558.94808751714822</v>
      </c>
      <c r="G34" s="254">
        <f>G29+G33</f>
        <v>558.94808751714754</v>
      </c>
      <c r="H34" s="297"/>
      <c r="I34" s="247">
        <f>I29+I33</f>
        <v>4333.9775893921487</v>
      </c>
      <c r="J34" s="247">
        <f>J29+J33</f>
        <v>7846.6864187820966</v>
      </c>
      <c r="K34" s="247">
        <f>K29+K33</f>
        <v>11324.252112278173</v>
      </c>
      <c r="L34" s="285">
        <f>L29+L33</f>
        <v>15657.308094060356</v>
      </c>
      <c r="M34" s="254">
        <f>M29+M33</f>
        <v>15657.308094060356</v>
      </c>
      <c r="N34" s="297"/>
      <c r="O34" s="247">
        <f>O29+O33</f>
        <v>21906.455275779106</v>
      </c>
      <c r="P34" s="247">
        <f>P29+P33</f>
        <v>27529.44692907904</v>
      </c>
      <c r="Q34" s="247">
        <f>Q29+Q33</f>
        <v>32996.93631688664</v>
      </c>
      <c r="R34" s="285">
        <f>R29+R33</f>
        <v>39958.640591239367</v>
      </c>
      <c r="S34" s="254">
        <f>S29+S33</f>
        <v>39958.640591239367</v>
      </c>
      <c r="T34" s="297"/>
      <c r="U34" s="247">
        <f>U29+U33</f>
        <v>49995.601397473743</v>
      </c>
      <c r="V34" s="247">
        <f>V29+V33</f>
        <v>58641.227755013657</v>
      </c>
      <c r="W34" s="247">
        <f>W29+W33</f>
        <v>67114.193075913528</v>
      </c>
      <c r="X34" s="285">
        <f>X29+X33</f>
        <v>78331.309274572079</v>
      </c>
      <c r="Y34" s="254">
        <f>Y29+Y33</f>
        <v>78331.309274572093</v>
      </c>
      <c r="Z34" s="297"/>
      <c r="AA34" s="247">
        <f>AA29+AA33</f>
        <v>94119.504017426763</v>
      </c>
      <c r="AB34" s="247">
        <f>AB29+AB33</f>
        <v>107476.04403007866</v>
      </c>
      <c r="AC34" s="247">
        <f>AC29+AC33</f>
        <v>120844.51359789849</v>
      </c>
      <c r="AD34" s="285">
        <f>AD29+AD33</f>
        <v>139185.5794900046</v>
      </c>
      <c r="AE34" s="254">
        <f>AE29+AE33</f>
        <v>139185.5794900046</v>
      </c>
    </row>
    <row r="35" spans="1:32">
      <c r="A35" s="41"/>
      <c r="B35" s="283"/>
      <c r="C35" s="253"/>
      <c r="D35" s="253"/>
      <c r="E35" s="253"/>
      <c r="F35" s="253"/>
      <c r="G35" s="253"/>
      <c r="H35" s="249"/>
      <c r="I35" s="253"/>
      <c r="J35" s="253"/>
      <c r="K35" s="253"/>
      <c r="L35" s="253"/>
      <c r="M35" s="298"/>
      <c r="N35" s="249"/>
      <c r="O35" s="253"/>
      <c r="P35" s="253"/>
      <c r="Q35" s="253"/>
      <c r="R35" s="253"/>
      <c r="S35" s="298"/>
      <c r="T35" s="249"/>
      <c r="U35" s="253"/>
      <c r="V35" s="253"/>
      <c r="W35" s="253"/>
      <c r="X35" s="253"/>
      <c r="Y35" s="298"/>
      <c r="Z35" s="249"/>
      <c r="AA35" s="253"/>
      <c r="AB35" s="253"/>
      <c r="AC35" s="253"/>
      <c r="AD35" s="253"/>
      <c r="AE35" s="298"/>
    </row>
    <row r="36" spans="1:32">
      <c r="A36" s="299"/>
      <c r="B36" s="296"/>
      <c r="C36" s="247"/>
      <c r="D36" s="247"/>
      <c r="E36" s="247"/>
      <c r="F36" s="247"/>
      <c r="G36" s="247"/>
      <c r="H36" s="249"/>
      <c r="I36" s="247"/>
      <c r="J36" s="247"/>
      <c r="K36" s="247"/>
      <c r="L36" s="247"/>
      <c r="M36" s="300"/>
      <c r="N36" s="249"/>
      <c r="O36" s="247"/>
      <c r="P36" s="247"/>
      <c r="Q36" s="247"/>
      <c r="R36" s="247"/>
      <c r="S36" s="300"/>
      <c r="T36" s="249"/>
      <c r="U36" s="247"/>
      <c r="V36" s="247"/>
      <c r="W36" s="247"/>
      <c r="X36" s="247"/>
      <c r="Y36" s="300"/>
      <c r="Z36" s="249"/>
      <c r="AA36" s="247"/>
      <c r="AB36" s="247"/>
      <c r="AC36" s="247"/>
      <c r="AD36" s="247"/>
      <c r="AE36" s="300"/>
    </row>
    <row r="37" spans="1:32">
      <c r="A37" s="674" t="s">
        <v>183</v>
      </c>
      <c r="B37" s="681"/>
      <c r="C37" s="678">
        <v>2009</v>
      </c>
      <c r="D37" s="679"/>
      <c r="E37" s="679"/>
      <c r="F37" s="679"/>
      <c r="G37" s="680"/>
      <c r="H37" s="5"/>
      <c r="I37" s="678">
        <v>2010</v>
      </c>
      <c r="J37" s="679"/>
      <c r="K37" s="679"/>
      <c r="L37" s="679"/>
      <c r="M37" s="680"/>
      <c r="N37" s="269"/>
      <c r="O37" s="678">
        <v>2011</v>
      </c>
      <c r="P37" s="679"/>
      <c r="Q37" s="679"/>
      <c r="R37" s="679"/>
      <c r="S37" s="680"/>
      <c r="T37" s="269"/>
      <c r="U37" s="678">
        <v>2012</v>
      </c>
      <c r="V37" s="679"/>
      <c r="W37" s="679"/>
      <c r="X37" s="679"/>
      <c r="Y37" s="680"/>
      <c r="Z37" s="269"/>
      <c r="AA37" s="678">
        <v>2013</v>
      </c>
      <c r="AB37" s="679"/>
      <c r="AC37" s="679"/>
      <c r="AD37" s="679"/>
      <c r="AE37" s="680"/>
    </row>
    <row r="38" spans="1:32">
      <c r="A38" s="676"/>
      <c r="B38" s="682"/>
      <c r="C38" s="250" t="s">
        <v>161</v>
      </c>
      <c r="D38" s="250" t="s">
        <v>158</v>
      </c>
      <c r="E38" s="250" t="s">
        <v>159</v>
      </c>
      <c r="F38" s="235" t="s">
        <v>160</v>
      </c>
      <c r="G38" s="250" t="s">
        <v>150</v>
      </c>
      <c r="H38" s="301"/>
      <c r="I38" s="263" t="s">
        <v>161</v>
      </c>
      <c r="J38" s="250" t="s">
        <v>158</v>
      </c>
      <c r="K38" s="250" t="s">
        <v>159</v>
      </c>
      <c r="L38" s="235" t="s">
        <v>160</v>
      </c>
      <c r="M38" s="250" t="s">
        <v>150</v>
      </c>
      <c r="N38" s="301"/>
      <c r="O38" s="263" t="s">
        <v>161</v>
      </c>
      <c r="P38" s="250" t="s">
        <v>158</v>
      </c>
      <c r="Q38" s="250" t="s">
        <v>159</v>
      </c>
      <c r="R38" s="235" t="s">
        <v>160</v>
      </c>
      <c r="S38" s="250" t="s">
        <v>150</v>
      </c>
      <c r="T38" s="301"/>
      <c r="U38" s="263" t="s">
        <v>161</v>
      </c>
      <c r="V38" s="250" t="s">
        <v>158</v>
      </c>
      <c r="W38" s="250" t="s">
        <v>159</v>
      </c>
      <c r="X38" s="235" t="s">
        <v>160</v>
      </c>
      <c r="Y38" s="250" t="s">
        <v>150</v>
      </c>
      <c r="Z38" s="301"/>
      <c r="AA38" s="263" t="s">
        <v>161</v>
      </c>
      <c r="AB38" s="250" t="s">
        <v>158</v>
      </c>
      <c r="AC38" s="250" t="s">
        <v>159</v>
      </c>
      <c r="AD38" s="235" t="s">
        <v>160</v>
      </c>
      <c r="AE38" s="250" t="s">
        <v>150</v>
      </c>
      <c r="AF38" s="35"/>
    </row>
    <row r="39" spans="1:32">
      <c r="A39" s="252"/>
      <c r="B39" s="319" t="s">
        <v>146</v>
      </c>
      <c r="C39" s="287">
        <f>C24</f>
        <v>344.57499999999999</v>
      </c>
      <c r="D39" s="302">
        <f>D24</f>
        <v>770.16575</v>
      </c>
      <c r="E39" s="302">
        <f>E24</f>
        <v>917.75649999999996</v>
      </c>
      <c r="F39" s="302">
        <f>F24</f>
        <v>1156.804625</v>
      </c>
      <c r="G39" s="303">
        <f>G24</f>
        <v>3189.3018750000001</v>
      </c>
      <c r="H39" s="303"/>
      <c r="I39" s="302">
        <f>I24</f>
        <v>2199.1265000000003</v>
      </c>
      <c r="J39" s="302">
        <f>J24</f>
        <v>1907.1745624999999</v>
      </c>
      <c r="K39" s="302">
        <f>K24</f>
        <v>2020.3051249999999</v>
      </c>
      <c r="L39" s="302">
        <f>L24</f>
        <v>2190.8398749999997</v>
      </c>
      <c r="M39" s="303">
        <f>M24</f>
        <v>8317.4460624999992</v>
      </c>
      <c r="N39" s="303"/>
      <c r="O39" s="302">
        <f>O24</f>
        <v>3797.4236874999997</v>
      </c>
      <c r="P39" s="302">
        <f>P24</f>
        <v>3255.3402968750001</v>
      </c>
      <c r="Q39" s="302">
        <f>Q24</f>
        <v>3495.8437812499997</v>
      </c>
      <c r="R39" s="302">
        <f>R24</f>
        <v>3866.4035187500003</v>
      </c>
      <c r="S39" s="303">
        <f>S24</f>
        <v>14415.011284374999</v>
      </c>
      <c r="T39" s="303"/>
      <c r="U39" s="302">
        <f>U24</f>
        <v>6484.0216156250008</v>
      </c>
      <c r="V39" s="302">
        <f>V24</f>
        <v>5503.4004781250005</v>
      </c>
      <c r="W39" s="302">
        <f>W24</f>
        <v>5891.0385593749997</v>
      </c>
      <c r="X39" s="302">
        <f>X24</f>
        <v>6549.4161650000005</v>
      </c>
      <c r="Y39" s="303">
        <f>Y24</f>
        <v>24427.876818125002</v>
      </c>
      <c r="Z39" s="303"/>
      <c r="AA39" s="302">
        <f>AA24</f>
        <v>10759.66431359375</v>
      </c>
      <c r="AB39" s="302">
        <f>AB24</f>
        <v>9200.6976446875015</v>
      </c>
      <c r="AC39" s="302">
        <f>AC24</f>
        <v>9889.7358820312511</v>
      </c>
      <c r="AD39" s="302">
        <f>AD24</f>
        <v>11059.983208875001</v>
      </c>
      <c r="AE39" s="303">
        <f>AE24</f>
        <v>40910.081049187502</v>
      </c>
      <c r="AF39" s="35"/>
    </row>
    <row r="40" spans="1:32" ht="15.75" customHeight="1">
      <c r="A40" s="252"/>
      <c r="B40" s="319"/>
      <c r="C40" s="287"/>
      <c r="D40" s="288"/>
      <c r="E40" s="288"/>
      <c r="F40" s="288"/>
      <c r="G40" s="290"/>
      <c r="H40" s="290"/>
      <c r="I40" s="288"/>
      <c r="J40" s="288"/>
      <c r="K40" s="288"/>
      <c r="L40" s="288"/>
      <c r="M40" s="290"/>
      <c r="N40" s="290"/>
      <c r="O40" s="288"/>
      <c r="P40" s="288"/>
      <c r="Q40" s="288"/>
      <c r="R40" s="288"/>
      <c r="S40" s="290"/>
      <c r="T40" s="290"/>
      <c r="U40" s="288"/>
      <c r="V40" s="288"/>
      <c r="W40" s="288"/>
      <c r="X40" s="288"/>
      <c r="Y40" s="290"/>
      <c r="Z40" s="290"/>
      <c r="AA40" s="288"/>
      <c r="AB40" s="288"/>
      <c r="AC40" s="288"/>
      <c r="AD40" s="288"/>
      <c r="AE40" s="290"/>
      <c r="AF40" s="35"/>
    </row>
    <row r="41" spans="1:32" ht="15.75" customHeight="1">
      <c r="A41" s="252"/>
      <c r="B41" s="319" t="s">
        <v>173</v>
      </c>
      <c r="C41" s="287">
        <f>SUM('ProForma-2009'!C18:E18)/1000</f>
        <v>722.98500000000013</v>
      </c>
      <c r="D41" s="288">
        <f>SUM('ProForma-2009'!F18:H18)/1000</f>
        <v>729.83500000000015</v>
      </c>
      <c r="E41" s="288">
        <f>SUM('ProForma-2009'!I18:K18)/1000</f>
        <v>764.08500000000015</v>
      </c>
      <c r="F41" s="288">
        <f>SUM('ProForma-2009'!L18:N18)/1000</f>
        <v>764.08500000000015</v>
      </c>
      <c r="G41" s="303">
        <f>SUM(C41:F41)</f>
        <v>2980.9900000000002</v>
      </c>
      <c r="H41" s="290"/>
      <c r="I41" s="288">
        <f>0.9*Headcount!U68</f>
        <v>771.14812499999994</v>
      </c>
      <c r="J41" s="288">
        <f>0.95*Headcount!U68</f>
        <v>813.98968749999995</v>
      </c>
      <c r="K41" s="288">
        <f>1.05*Headcount!U68</f>
        <v>899.67281249999996</v>
      </c>
      <c r="L41" s="288">
        <f>1.1*Headcount!U68</f>
        <v>942.51437499999997</v>
      </c>
      <c r="M41" s="290">
        <f>SUM(I41:L41)</f>
        <v>3427.3249999999998</v>
      </c>
      <c r="N41" s="290"/>
      <c r="O41" s="288">
        <f>Headcount!$W$68</f>
        <v>1313.818</v>
      </c>
      <c r="P41" s="288">
        <f>Headcount!$W$68</f>
        <v>1313.818</v>
      </c>
      <c r="Q41" s="288">
        <f>Headcount!$W$68</f>
        <v>1313.818</v>
      </c>
      <c r="R41" s="288">
        <f>Headcount!$W$68</f>
        <v>1313.818</v>
      </c>
      <c r="S41" s="290">
        <f>SUM(O41:R41)</f>
        <v>5255.2719999999999</v>
      </c>
      <c r="T41" s="290"/>
      <c r="U41" s="288">
        <f>Headcount!$Y$68</f>
        <v>1764.0075749999999</v>
      </c>
      <c r="V41" s="288">
        <f>Headcount!$Y$68</f>
        <v>1764.0075749999999</v>
      </c>
      <c r="W41" s="288">
        <f>Headcount!$Y$68</f>
        <v>1764.0075749999999</v>
      </c>
      <c r="X41" s="288">
        <f>Headcount!$Y$68</f>
        <v>1764.0075749999999</v>
      </c>
      <c r="Y41" s="290">
        <f>SUM(U41:X41)</f>
        <v>7056.0302999999994</v>
      </c>
      <c r="Z41" s="290"/>
      <c r="AA41" s="288">
        <f>Headcount!$AA$68</f>
        <v>2345.1038737500003</v>
      </c>
      <c r="AB41" s="288">
        <f>Headcount!$AA$68</f>
        <v>2345.1038737500003</v>
      </c>
      <c r="AC41" s="288">
        <f>Headcount!$AA$68</f>
        <v>2345.1038737500003</v>
      </c>
      <c r="AD41" s="288">
        <f>Headcount!$AA$68</f>
        <v>2345.1038737500003</v>
      </c>
      <c r="AE41" s="290">
        <f>SUM(AA41:AD41)</f>
        <v>9380.4154950000011</v>
      </c>
      <c r="AF41" s="35"/>
    </row>
    <row r="42" spans="1:32" ht="15.75" customHeight="1">
      <c r="A42" s="252"/>
      <c r="B42" s="315"/>
      <c r="C42" s="287"/>
      <c r="D42" s="288"/>
      <c r="E42" s="288"/>
      <c r="F42" s="288"/>
      <c r="G42" s="303"/>
      <c r="H42" s="290"/>
      <c r="I42" s="288"/>
      <c r="J42" s="288"/>
      <c r="K42" s="288"/>
      <c r="L42" s="288"/>
      <c r="M42" s="290"/>
      <c r="N42" s="290"/>
      <c r="O42" s="288"/>
      <c r="P42" s="288"/>
      <c r="Q42" s="288"/>
      <c r="R42" s="288"/>
      <c r="S42" s="290"/>
      <c r="T42" s="290"/>
      <c r="U42" s="288"/>
      <c r="V42" s="288"/>
      <c r="W42" s="288"/>
      <c r="X42" s="288"/>
      <c r="Y42" s="290"/>
      <c r="Z42" s="290"/>
      <c r="AA42" s="288"/>
      <c r="AB42" s="288"/>
      <c r="AC42" s="288"/>
      <c r="AD42" s="288"/>
      <c r="AE42" s="290"/>
      <c r="AF42" s="35"/>
    </row>
    <row r="43" spans="1:32">
      <c r="A43" s="252"/>
      <c r="B43" s="319"/>
      <c r="C43" s="287"/>
      <c r="D43" s="288"/>
      <c r="E43" s="288"/>
      <c r="F43" s="288"/>
      <c r="G43" s="290"/>
      <c r="H43" s="290"/>
      <c r="I43" s="288"/>
      <c r="J43" s="288"/>
      <c r="K43" s="288"/>
      <c r="L43" s="288"/>
      <c r="M43" s="290"/>
      <c r="N43" s="290"/>
      <c r="O43" s="288"/>
      <c r="P43" s="288"/>
      <c r="Q43" s="288"/>
      <c r="R43" s="288"/>
      <c r="S43" s="290"/>
      <c r="T43" s="290"/>
      <c r="U43" s="288"/>
      <c r="V43" s="288"/>
      <c r="W43" s="288"/>
      <c r="X43" s="288"/>
      <c r="Y43" s="290"/>
      <c r="Z43" s="290"/>
      <c r="AA43" s="288"/>
      <c r="AB43" s="288"/>
      <c r="AC43" s="288"/>
      <c r="AD43" s="288"/>
      <c r="AE43" s="290"/>
      <c r="AF43" s="35"/>
    </row>
    <row r="44" spans="1:32">
      <c r="A44" s="252"/>
      <c r="B44" s="319" t="s">
        <v>174</v>
      </c>
      <c r="C44" s="287">
        <f>SUM('ProForma-2009'!C19:E19)/1000</f>
        <v>521.91723500000001</v>
      </c>
      <c r="D44" s="288">
        <f>SUM('ProForma-2009'!F19:H19)/1000</f>
        <v>562.03998279106497</v>
      </c>
      <c r="E44" s="288">
        <f>SUM('ProForma-2009'!I19:K19)/1000</f>
        <v>528.97305977429062</v>
      </c>
      <c r="F44" s="288">
        <f>SUM('ProForma-2009'!L19:N19)/1000</f>
        <v>668.13463491749667</v>
      </c>
      <c r="G44" s="303">
        <f>SUM(C44:F44)</f>
        <v>2281.0649124828524</v>
      </c>
      <c r="H44" s="290"/>
      <c r="I44" s="288">
        <f>1.25*C44</f>
        <v>652.39654374999998</v>
      </c>
      <c r="J44" s="288">
        <f>1.25*D44</f>
        <v>702.54997848883124</v>
      </c>
      <c r="K44" s="288">
        <f>1.25*E44</f>
        <v>661.21632471786324</v>
      </c>
      <c r="L44" s="288">
        <f>1.25*F44</f>
        <v>835.16829364687078</v>
      </c>
      <c r="M44" s="303">
        <f>SUM(I44:L44)</f>
        <v>2851.3311406035655</v>
      </c>
      <c r="N44" s="290"/>
      <c r="O44" s="288">
        <f>1.25*I44</f>
        <v>815.4956796875</v>
      </c>
      <c r="P44" s="288">
        <f>1.25*J44</f>
        <v>878.18747311103903</v>
      </c>
      <c r="Q44" s="288">
        <f>1.25*K44</f>
        <v>826.52040589732906</v>
      </c>
      <c r="R44" s="288">
        <f>1.25*L44</f>
        <v>1043.9603670585884</v>
      </c>
      <c r="S44" s="290">
        <f>SUM(O44:R44)</f>
        <v>3564.1639257544566</v>
      </c>
      <c r="T44" s="290"/>
      <c r="U44" s="288">
        <f>1.3*O44</f>
        <v>1060.14438359375</v>
      </c>
      <c r="V44" s="288">
        <f>1.3*P44</f>
        <v>1141.6437150443508</v>
      </c>
      <c r="W44" s="288">
        <f>1.3*Q44</f>
        <v>1074.4765276665278</v>
      </c>
      <c r="X44" s="288">
        <f>1.3*R44</f>
        <v>1357.148477176165</v>
      </c>
      <c r="Y44" s="290">
        <f>SUM(U44:X44)</f>
        <v>4633.4131034807933</v>
      </c>
      <c r="Z44" s="290"/>
      <c r="AA44" s="288">
        <f>1.3*U44</f>
        <v>1378.1876986718751</v>
      </c>
      <c r="AB44" s="288">
        <f>1.3*V44</f>
        <v>1484.136829557656</v>
      </c>
      <c r="AC44" s="288">
        <f>1.3*W44</f>
        <v>1396.8194859664861</v>
      </c>
      <c r="AD44" s="288">
        <f>1.3*X44</f>
        <v>1764.2930203290146</v>
      </c>
      <c r="AE44" s="290">
        <f>SUM(AA44:AD44)</f>
        <v>6023.4370345250318</v>
      </c>
      <c r="AF44" s="35"/>
    </row>
    <row r="45" spans="1:32" ht="13.5" thickBot="1">
      <c r="A45" s="252"/>
      <c r="B45" s="315"/>
      <c r="C45" s="293"/>
      <c r="D45" s="294"/>
      <c r="E45" s="294"/>
      <c r="F45" s="294"/>
      <c r="G45" s="304"/>
      <c r="H45" s="290"/>
      <c r="I45" s="293"/>
      <c r="J45" s="294"/>
      <c r="K45" s="294"/>
      <c r="L45" s="294"/>
      <c r="M45" s="304"/>
      <c r="N45" s="290"/>
      <c r="O45" s="293"/>
      <c r="P45" s="294"/>
      <c r="Q45" s="294"/>
      <c r="R45" s="294"/>
      <c r="S45" s="304"/>
      <c r="T45" s="290"/>
      <c r="U45" s="293"/>
      <c r="V45" s="294"/>
      <c r="W45" s="294"/>
      <c r="X45" s="294"/>
      <c r="Y45" s="304"/>
      <c r="Z45" s="290"/>
      <c r="AA45" s="293"/>
      <c r="AB45" s="294"/>
      <c r="AC45" s="294"/>
      <c r="AD45" s="294"/>
      <c r="AE45" s="304"/>
      <c r="AF45" s="35"/>
    </row>
    <row r="46" spans="1:32" ht="13.5" thickTop="1">
      <c r="A46" s="305"/>
      <c r="B46" s="31" t="s">
        <v>184</v>
      </c>
      <c r="C46" s="306">
        <f>C39-C41-C42-C44-C45</f>
        <v>-900.3272350000002</v>
      </c>
      <c r="D46" s="307">
        <f>D39-D41-D42-D44-D45</f>
        <v>-521.70923279106512</v>
      </c>
      <c r="E46" s="307">
        <f>E39-E41-E42-E44-E45</f>
        <v>-375.30155977429081</v>
      </c>
      <c r="F46" s="307">
        <f>F39-F41-F42-F44-F45</f>
        <v>-275.41500991749683</v>
      </c>
      <c r="G46" s="308">
        <f>SUM(C46:F46)</f>
        <v>-2072.753037482853</v>
      </c>
      <c r="H46" s="309"/>
      <c r="I46" s="307">
        <f>I39-I41-I42-I44-I45</f>
        <v>775.58183125000039</v>
      </c>
      <c r="J46" s="307">
        <f>J39-J41-J42-J44-J45</f>
        <v>390.63489651116868</v>
      </c>
      <c r="K46" s="307">
        <f>K39-K41-K42-K44-K45</f>
        <v>459.41598778213665</v>
      </c>
      <c r="L46" s="307">
        <f>L39-L41-L42-L44-L45</f>
        <v>413.15720635312891</v>
      </c>
      <c r="M46" s="308">
        <f>SUM(I46:L46)</f>
        <v>2038.7899218964346</v>
      </c>
      <c r="N46" s="309"/>
      <c r="O46" s="307">
        <f>O39-O41-O42-O44-O45</f>
        <v>1668.1100078124996</v>
      </c>
      <c r="P46" s="307">
        <f>P39-P41-P42-P44-P45</f>
        <v>1063.3348237639611</v>
      </c>
      <c r="Q46" s="307">
        <f>Q39-Q41-Q42-Q44-Q45</f>
        <v>1355.5053753526704</v>
      </c>
      <c r="R46" s="307">
        <f>R39-R41-R42-R44-R45</f>
        <v>1508.6251516914117</v>
      </c>
      <c r="S46" s="308">
        <f>SUM(O46:R46)</f>
        <v>5595.5753586205428</v>
      </c>
      <c r="T46" s="309"/>
      <c r="U46" s="307">
        <f>U39-U41-U42-U44-U45</f>
        <v>3659.8696570312513</v>
      </c>
      <c r="V46" s="307">
        <f>V39-V41-V42-V44-V45</f>
        <v>2597.7491880806501</v>
      </c>
      <c r="W46" s="307">
        <f>W39-W41-W42-W44-W45</f>
        <v>3052.5544567084726</v>
      </c>
      <c r="X46" s="307">
        <f>X39-X41-X42-X44-X45</f>
        <v>3428.2601128238357</v>
      </c>
      <c r="Y46" s="308">
        <f>SUM(U46:X46)</f>
        <v>12738.433414644209</v>
      </c>
      <c r="Z46" s="309"/>
      <c r="AA46" s="307">
        <f>AA39-AA41-AA42-AA44-AA45</f>
        <v>7036.3727411718746</v>
      </c>
      <c r="AB46" s="307">
        <f>AB39-AB41-AB42-AB44-AB45</f>
        <v>5371.4569413798454</v>
      </c>
      <c r="AC46" s="307">
        <f>AC39-AC41-AC42-AC44-AC45</f>
        <v>6147.8125223147645</v>
      </c>
      <c r="AD46" s="307">
        <f>AD39-AD41-AD42-AD44-AD45</f>
        <v>6950.5863147959863</v>
      </c>
      <c r="AE46" s="308">
        <f>SUM(AA46:AD46)</f>
        <v>25506.228519662473</v>
      </c>
      <c r="AF46" s="35"/>
    </row>
    <row r="47" spans="1:32">
      <c r="B47" s="28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35"/>
    </row>
    <row r="52" spans="2:7">
      <c r="C52" s="6">
        <v>2009</v>
      </c>
      <c r="D52" s="6">
        <v>2010</v>
      </c>
      <c r="E52" s="6">
        <v>2011</v>
      </c>
      <c r="F52" s="6">
        <v>2012</v>
      </c>
      <c r="G52" s="6">
        <v>2013</v>
      </c>
    </row>
    <row r="53" spans="2:7">
      <c r="B53" s="183" t="s">
        <v>190</v>
      </c>
      <c r="C53" s="320">
        <f>G17</f>
        <v>5372.1109999999999</v>
      </c>
      <c r="D53" s="320">
        <f>M17</f>
        <v>9419.0234999999993</v>
      </c>
      <c r="E53" s="320">
        <f>S17</f>
        <v>16370.221775000002</v>
      </c>
      <c r="F53" s="320">
        <f>Y17</f>
        <v>27825.006020000001</v>
      </c>
      <c r="G53" s="320">
        <f>AE17</f>
        <v>47167.623283499997</v>
      </c>
    </row>
    <row r="54" spans="2:7">
      <c r="B54" s="183"/>
      <c r="C54" s="322"/>
      <c r="D54" s="323"/>
      <c r="E54" s="323"/>
      <c r="F54" s="323"/>
      <c r="G54" s="324"/>
    </row>
    <row r="55" spans="2:7">
      <c r="B55" s="183" t="s">
        <v>146</v>
      </c>
      <c r="C55" s="320">
        <f>G24</f>
        <v>3189.3018750000001</v>
      </c>
      <c r="D55" s="320">
        <f>M24</f>
        <v>8317.4460624999992</v>
      </c>
      <c r="E55" s="320">
        <f>S24</f>
        <v>14415.011284374999</v>
      </c>
      <c r="F55" s="320">
        <f>Y24</f>
        <v>24427.876818125002</v>
      </c>
      <c r="G55" s="320">
        <f>AE24</f>
        <v>40910.081049187502</v>
      </c>
    </row>
    <row r="56" spans="2:7">
      <c r="B56" s="183" t="s">
        <v>14</v>
      </c>
      <c r="C56" s="320">
        <f>SUM(G41:G45)</f>
        <v>5262.0549124828522</v>
      </c>
      <c r="D56" s="320">
        <f>SUM(M41:M45)</f>
        <v>6278.6561406035653</v>
      </c>
      <c r="E56" s="320">
        <f>SUM(S41:S45)</f>
        <v>8819.4359257544565</v>
      </c>
      <c r="F56" s="320">
        <f>SUM(Y41:Y45)</f>
        <v>11689.443403480793</v>
      </c>
      <c r="G56" s="320">
        <f>SUM(AE41:AE45)</f>
        <v>15403.852529525033</v>
      </c>
    </row>
    <row r="57" spans="2:7">
      <c r="B57" s="183" t="s">
        <v>192</v>
      </c>
      <c r="C57" s="320">
        <f>C55-C56</f>
        <v>-2072.7530374828521</v>
      </c>
      <c r="D57" s="320">
        <f>D55-D56</f>
        <v>2038.789921896434</v>
      </c>
      <c r="E57" s="320">
        <f>E55-E56</f>
        <v>5595.5753586205428</v>
      </c>
      <c r="F57" s="320">
        <f>F55-F56</f>
        <v>12738.433414644209</v>
      </c>
      <c r="G57" s="320">
        <f>G55-G56</f>
        <v>25506.228519662469</v>
      </c>
    </row>
    <row r="58" spans="2:7">
      <c r="B58" s="183"/>
      <c r="C58" s="322"/>
      <c r="D58" s="323"/>
      <c r="E58" s="323"/>
      <c r="F58" s="323"/>
      <c r="G58" s="324"/>
    </row>
    <row r="59" spans="2:7">
      <c r="B59" s="183" t="s">
        <v>21</v>
      </c>
      <c r="C59" s="320">
        <f>G34</f>
        <v>558.94808751714754</v>
      </c>
      <c r="D59" s="320">
        <f>M34</f>
        <v>15657.308094060356</v>
      </c>
      <c r="E59" s="320">
        <f>S34</f>
        <v>39958.640591239367</v>
      </c>
      <c r="F59" s="320">
        <f>Y34</f>
        <v>78331.309274572093</v>
      </c>
      <c r="G59" s="320">
        <f>AE34</f>
        <v>139185.5794900046</v>
      </c>
    </row>
    <row r="60" spans="2:7">
      <c r="B60" s="183"/>
      <c r="C60" s="322"/>
      <c r="D60" s="323"/>
      <c r="E60" s="323"/>
      <c r="F60" s="323"/>
      <c r="G60" s="324"/>
    </row>
    <row r="61" spans="2:7">
      <c r="B61" s="183" t="s">
        <v>191</v>
      </c>
      <c r="C61" s="265">
        <f>12+3</f>
        <v>15</v>
      </c>
      <c r="D61" s="265">
        <f>19+6</f>
        <v>25</v>
      </c>
      <c r="E61" s="265">
        <f>29+10</f>
        <v>39</v>
      </c>
      <c r="F61" s="265">
        <f>43+14</f>
        <v>57</v>
      </c>
      <c r="G61" s="265">
        <f>62+20</f>
        <v>82</v>
      </c>
    </row>
    <row r="62" spans="2:7">
      <c r="B62" s="183"/>
      <c r="C62" s="264"/>
      <c r="D62" s="325"/>
      <c r="E62" s="325"/>
      <c r="F62" s="325"/>
      <c r="G62" s="326"/>
    </row>
    <row r="63" spans="2:7">
      <c r="B63" s="183" t="s">
        <v>175</v>
      </c>
      <c r="C63" s="265">
        <f>50+16</f>
        <v>66</v>
      </c>
      <c r="D63" s="265">
        <f>47+C63</f>
        <v>113</v>
      </c>
      <c r="E63" s="265">
        <f>D63+66</f>
        <v>179</v>
      </c>
      <c r="F63" s="265">
        <f>E63+60</f>
        <v>239</v>
      </c>
      <c r="G63" s="265">
        <f>F63+90</f>
        <v>329</v>
      </c>
    </row>
  </sheetData>
  <mergeCells count="24">
    <mergeCell ref="A37:B38"/>
    <mergeCell ref="C37:G37"/>
    <mergeCell ref="I37:M37"/>
    <mergeCell ref="O37:S37"/>
    <mergeCell ref="I27:M27"/>
    <mergeCell ref="O27:S27"/>
    <mergeCell ref="U3:Y3"/>
    <mergeCell ref="AA3:AE3"/>
    <mergeCell ref="U20:Y20"/>
    <mergeCell ref="AA20:AE20"/>
    <mergeCell ref="U37:Y37"/>
    <mergeCell ref="AA37:AE37"/>
    <mergeCell ref="AA27:AE27"/>
    <mergeCell ref="A3:B4"/>
    <mergeCell ref="C3:G3"/>
    <mergeCell ref="I3:M3"/>
    <mergeCell ref="O3:S3"/>
    <mergeCell ref="U27:Y27"/>
    <mergeCell ref="A20:B21"/>
    <mergeCell ref="C20:G20"/>
    <mergeCell ref="I20:M20"/>
    <mergeCell ref="O20:S20"/>
    <mergeCell ref="A27:B28"/>
    <mergeCell ref="C27:G27"/>
  </mergeCells>
  <phoneticPr fontId="2" type="noConversion"/>
  <pageMargins left="0.5" right="0.5" top="0.75" bottom="0.75" header="0.5" footer="0.5"/>
  <pageSetup scale="4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80" zoomScaleNormal="80" workbookViewId="0">
      <selection activeCell="B19" sqref="B19"/>
    </sheetView>
  </sheetViews>
  <sheetFormatPr defaultRowHeight="12.75"/>
  <cols>
    <col min="1" max="1" width="45.42578125" style="582" customWidth="1"/>
    <col min="2" max="11" width="9.140625" style="582"/>
    <col min="12" max="13" width="9.85546875" style="582" bestFit="1" customWidth="1"/>
    <col min="14" max="14" width="1.28515625" style="582" customWidth="1"/>
    <col min="15" max="15" width="12.85546875" style="582" customWidth="1"/>
    <col min="16" max="16" width="0.85546875" style="582" customWidth="1"/>
    <col min="17" max="20" width="9.85546875" style="582" bestFit="1" customWidth="1"/>
    <col min="21" max="16384" width="9.140625" style="582"/>
  </cols>
  <sheetData>
    <row r="1" spans="1:20" ht="42">
      <c r="A1" s="581" t="s">
        <v>520</v>
      </c>
      <c r="B1" s="645" t="s">
        <v>198</v>
      </c>
      <c r="C1" s="645"/>
      <c r="D1" s="645"/>
      <c r="E1" s="645" t="s">
        <v>199</v>
      </c>
      <c r="F1" s="645"/>
      <c r="G1" s="645"/>
      <c r="H1" s="645" t="s">
        <v>200</v>
      </c>
      <c r="I1" s="645"/>
      <c r="J1" s="645"/>
      <c r="K1" s="645" t="s">
        <v>201</v>
      </c>
      <c r="L1" s="645"/>
      <c r="M1" s="645"/>
      <c r="N1" s="587"/>
      <c r="O1" s="587"/>
      <c r="P1" s="587"/>
    </row>
    <row r="2" spans="1:20" ht="15.75">
      <c r="A2" s="583"/>
      <c r="B2" s="584" t="s">
        <v>67</v>
      </c>
      <c r="C2" s="584" t="s">
        <v>65</v>
      </c>
      <c r="D2" s="584" t="s">
        <v>68</v>
      </c>
      <c r="E2" s="584" t="s">
        <v>60</v>
      </c>
      <c r="F2" s="584" t="s">
        <v>61</v>
      </c>
      <c r="G2" s="584" t="s">
        <v>69</v>
      </c>
      <c r="H2" s="584" t="s">
        <v>62</v>
      </c>
      <c r="I2" s="584" t="s">
        <v>63</v>
      </c>
      <c r="J2" s="584" t="s">
        <v>91</v>
      </c>
      <c r="K2" s="584" t="s">
        <v>64</v>
      </c>
      <c r="L2" s="584" t="s">
        <v>80</v>
      </c>
      <c r="M2" s="584" t="s">
        <v>66</v>
      </c>
      <c r="N2" s="584"/>
      <c r="O2" s="584"/>
      <c r="P2" s="584"/>
      <c r="Q2" s="586" t="s">
        <v>161</v>
      </c>
      <c r="R2" s="586" t="s">
        <v>158</v>
      </c>
      <c r="S2" s="586" t="s">
        <v>159</v>
      </c>
      <c r="T2" s="586" t="s">
        <v>160</v>
      </c>
    </row>
    <row r="3" spans="1:20" ht="15.75">
      <c r="A3" s="583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6"/>
      <c r="R3" s="586"/>
      <c r="S3" s="586"/>
      <c r="T3" s="586"/>
    </row>
    <row r="4" spans="1:20" ht="18.75">
      <c r="A4" s="588" t="s">
        <v>529</v>
      </c>
      <c r="B4" s="584">
        <v>400000</v>
      </c>
      <c r="C4" s="584">
        <f>B29</f>
        <v>340387.47450769227</v>
      </c>
      <c r="D4" s="584">
        <f t="shared" ref="D4:M4" si="0">C29</f>
        <v>269370.89901538461</v>
      </c>
      <c r="E4" s="584">
        <f t="shared" si="0"/>
        <v>286657.71852307685</v>
      </c>
      <c r="F4" s="584">
        <f t="shared" si="0"/>
        <v>463135.72118076927</v>
      </c>
      <c r="G4" s="584">
        <f t="shared" si="0"/>
        <v>482971.25108896149</v>
      </c>
      <c r="H4" s="584">
        <f t="shared" si="0"/>
        <v>299515.82725508895</v>
      </c>
      <c r="I4" s="584">
        <f t="shared" si="0"/>
        <v>114556.23788560764</v>
      </c>
      <c r="J4" s="584">
        <f t="shared" si="0"/>
        <v>58541.501176592312</v>
      </c>
      <c r="K4" s="584">
        <f t="shared" si="0"/>
        <v>-222076.94650592876</v>
      </c>
      <c r="L4" s="584">
        <f t="shared" si="0"/>
        <v>-201658.1832607633</v>
      </c>
      <c r="M4" s="584">
        <f t="shared" si="0"/>
        <v>250757.13678824157</v>
      </c>
      <c r="N4" s="584"/>
      <c r="O4" s="584"/>
      <c r="P4" s="584"/>
      <c r="Q4" s="586"/>
      <c r="R4" s="586"/>
      <c r="S4" s="586"/>
      <c r="T4" s="586"/>
    </row>
    <row r="5" spans="1:20" ht="15.7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4"/>
      <c r="Q5" s="586"/>
      <c r="R5" s="586"/>
      <c r="S5" s="586"/>
      <c r="T5" s="586"/>
    </row>
    <row r="6" spans="1:20" ht="15.75">
      <c r="A6" s="644" t="s">
        <v>530</v>
      </c>
    </row>
    <row r="8" spans="1:20">
      <c r="A8" s="582" t="s">
        <v>531</v>
      </c>
      <c r="B8" s="582">
        <f>'CASH FLOW'!D23</f>
        <v>399600</v>
      </c>
      <c r="C8" s="582">
        <f>'CASH FLOW'!E23</f>
        <v>440687</v>
      </c>
      <c r="D8" s="582">
        <f>'CASH FLOW'!F23</f>
        <v>464600</v>
      </c>
      <c r="E8" s="582">
        <f>'CASH FLOW'!G23</f>
        <v>599600</v>
      </c>
      <c r="F8" s="582">
        <f>'CASH FLOW'!H23</f>
        <v>472200</v>
      </c>
      <c r="G8" s="582">
        <f>'CASH FLOW'!I23</f>
        <v>297600</v>
      </c>
      <c r="H8" s="582">
        <f>'CASH FLOW'!J23</f>
        <v>277426</v>
      </c>
      <c r="I8" s="582">
        <f>'CASH FLOW'!K23</f>
        <v>346090</v>
      </c>
      <c r="J8" s="582">
        <f>'CASH FLOW'!L23</f>
        <v>197000</v>
      </c>
      <c r="K8" s="582">
        <f>'CASH FLOW'!M23</f>
        <v>589600</v>
      </c>
      <c r="L8" s="582">
        <f>'CASH FLOW'!N23</f>
        <v>951600</v>
      </c>
      <c r="M8" s="582">
        <f>'CASH FLOW'!O23</f>
        <v>505000</v>
      </c>
      <c r="O8" s="582">
        <f>SUM(B8:N8)</f>
        <v>5541003</v>
      </c>
      <c r="Q8" s="582">
        <f>SUM(B8:D8)</f>
        <v>1304887</v>
      </c>
      <c r="R8" s="582">
        <f>SUM(E8:G8)</f>
        <v>1369400</v>
      </c>
      <c r="S8" s="582">
        <f>SUM(H8:J8)</f>
        <v>820516</v>
      </c>
      <c r="T8" s="582">
        <f>SUM(K8:M8)</f>
        <v>2046200</v>
      </c>
    </row>
    <row r="9" spans="1:20">
      <c r="A9" s="582" t="s">
        <v>532</v>
      </c>
      <c r="B9" s="582">
        <f>'Actify Budget'!E13</f>
        <v>303732</v>
      </c>
      <c r="C9" s="582">
        <f>'Actify Budget'!F13</f>
        <v>299655.55</v>
      </c>
      <c r="D9" s="582">
        <f>'Actify Budget'!G13</f>
        <v>362022.2</v>
      </c>
      <c r="E9" s="582">
        <f>'Actify Budget'!H13</f>
        <v>395309.9</v>
      </c>
      <c r="F9" s="582">
        <f>'Actify Budget'!I13</f>
        <v>345062.6</v>
      </c>
      <c r="G9" s="582">
        <f>'Actify Budget'!J13</f>
        <v>330256.05</v>
      </c>
      <c r="H9" s="582">
        <f>'Actify Budget'!K13</f>
        <v>354973.39999999997</v>
      </c>
      <c r="I9" s="582">
        <f>'Actify Budget'!L13</f>
        <v>399761.3</v>
      </c>
      <c r="J9" s="582">
        <f>'Actify Budget'!M13</f>
        <v>342077.8</v>
      </c>
      <c r="K9" s="582">
        <f>'Actify Budget'!N13</f>
        <v>290673.14999999997</v>
      </c>
      <c r="L9" s="582">
        <f>'Actify Budget'!O13</f>
        <v>375726.55</v>
      </c>
      <c r="M9" s="582">
        <f>'Actify Budget'!P13</f>
        <v>363072.3</v>
      </c>
      <c r="O9" s="582">
        <f t="shared" ref="O9:O11" si="1">SUM(B9:N9)</f>
        <v>4162322.7999999993</v>
      </c>
      <c r="Q9" s="582">
        <f t="shared" ref="Q9:Q11" si="2">SUM(B9:D9)</f>
        <v>965409.75</v>
      </c>
      <c r="R9" s="582">
        <f t="shared" ref="R9:R11" si="3">SUM(E9:G9)</f>
        <v>1070628.55</v>
      </c>
      <c r="S9" s="582">
        <f t="shared" ref="S9:S11" si="4">SUM(H9:J9)</f>
        <v>1096812.5</v>
      </c>
      <c r="T9" s="582">
        <f t="shared" ref="T9:T11" si="5">SUM(K9:M9)</f>
        <v>1029472</v>
      </c>
    </row>
    <row r="10" spans="1:20">
      <c r="O10" s="582">
        <f t="shared" si="1"/>
        <v>0</v>
      </c>
    </row>
    <row r="11" spans="1:20" ht="15">
      <c r="A11" s="643" t="s">
        <v>533</v>
      </c>
      <c r="B11" s="582">
        <f>SUM(B8:B10)</f>
        <v>703332</v>
      </c>
      <c r="C11" s="582">
        <f t="shared" ref="C11:M11" si="6">SUM(C8:C10)</f>
        <v>740342.55</v>
      </c>
      <c r="D11" s="582">
        <f t="shared" si="6"/>
        <v>826622.2</v>
      </c>
      <c r="E11" s="582">
        <f t="shared" si="6"/>
        <v>994909.9</v>
      </c>
      <c r="F11" s="582">
        <f t="shared" si="6"/>
        <v>817262.6</v>
      </c>
      <c r="G11" s="582">
        <f t="shared" si="6"/>
        <v>627856.05000000005</v>
      </c>
      <c r="H11" s="582">
        <f t="shared" si="6"/>
        <v>632399.39999999991</v>
      </c>
      <c r="I11" s="582">
        <f t="shared" si="6"/>
        <v>745851.3</v>
      </c>
      <c r="J11" s="582">
        <f t="shared" si="6"/>
        <v>539077.80000000005</v>
      </c>
      <c r="K11" s="582">
        <f t="shared" si="6"/>
        <v>880273.14999999991</v>
      </c>
      <c r="L11" s="582">
        <f t="shared" si="6"/>
        <v>1327326.55</v>
      </c>
      <c r="M11" s="582">
        <f t="shared" si="6"/>
        <v>868072.3</v>
      </c>
      <c r="O11" s="582">
        <f t="shared" si="1"/>
        <v>9703325.8000000007</v>
      </c>
      <c r="Q11" s="582">
        <f t="shared" si="2"/>
        <v>2270296.75</v>
      </c>
      <c r="R11" s="582">
        <f t="shared" si="3"/>
        <v>2440028.5499999998</v>
      </c>
      <c r="S11" s="582">
        <f t="shared" si="4"/>
        <v>1917328.5</v>
      </c>
      <c r="T11" s="582">
        <f t="shared" si="5"/>
        <v>3075672</v>
      </c>
    </row>
    <row r="13" spans="1:20" ht="15.75">
      <c r="A13" s="644" t="s">
        <v>526</v>
      </c>
    </row>
    <row r="15" spans="1:20">
      <c r="A15" s="582" t="s">
        <v>522</v>
      </c>
      <c r="B15" s="582">
        <f>Headcount!H65</f>
        <v>196291.66666666669</v>
      </c>
      <c r="C15" s="582">
        <f>Headcount!I65</f>
        <v>196291.66666666669</v>
      </c>
      <c r="D15" s="582">
        <f>Headcount!J65</f>
        <v>196291.66666666669</v>
      </c>
      <c r="E15" s="582">
        <f>Headcount!K65</f>
        <v>196291.66666666669</v>
      </c>
      <c r="F15" s="582">
        <f>Headcount!L65</f>
        <v>196291.66666666669</v>
      </c>
      <c r="G15" s="582">
        <f>Headcount!M65</f>
        <v>201291.66666666669</v>
      </c>
      <c r="H15" s="582">
        <f>Headcount!N65</f>
        <v>206291.66666666669</v>
      </c>
      <c r="I15" s="582">
        <f>Headcount!O65</f>
        <v>206291.66666666669</v>
      </c>
      <c r="J15" s="582">
        <f>Headcount!P65</f>
        <v>206291.66666666669</v>
      </c>
      <c r="K15" s="582">
        <f>Headcount!Q65</f>
        <v>206291.66666666669</v>
      </c>
      <c r="L15" s="582">
        <f>Headcount!R65</f>
        <v>206291.66666666669</v>
      </c>
      <c r="M15" s="582">
        <f>Headcount!S65</f>
        <v>206291.66666666669</v>
      </c>
      <c r="O15" s="582">
        <f>SUM(B15:N15)</f>
        <v>2420500.0000000005</v>
      </c>
      <c r="Q15" s="582">
        <f>SUM(B15:D15)</f>
        <v>588875</v>
      </c>
      <c r="R15" s="582">
        <f>SUM(E15:G15)</f>
        <v>593875</v>
      </c>
      <c r="S15" s="582">
        <f>SUM(H15:J15)</f>
        <v>618875</v>
      </c>
      <c r="T15" s="582">
        <f>SUM(K15:M15)</f>
        <v>618875</v>
      </c>
    </row>
    <row r="16" spans="1:20">
      <c r="A16" s="582" t="s">
        <v>523</v>
      </c>
      <c r="B16" s="582">
        <f>'Actify Budget'!E21</f>
        <v>161329.42307692306</v>
      </c>
      <c r="C16" s="582">
        <f>'Actify Budget'!F21</f>
        <v>143829.42307692306</v>
      </c>
      <c r="D16" s="582">
        <f>'Actify Budget'!G21</f>
        <v>143829.42307692306</v>
      </c>
      <c r="E16" s="582">
        <f>'Actify Budget'!H21</f>
        <v>143829.42307692306</v>
      </c>
      <c r="F16" s="582">
        <f>'Actify Budget'!I21</f>
        <v>134662.75641025641</v>
      </c>
      <c r="G16" s="582">
        <f>'Actify Budget'!J21</f>
        <v>134944.35641025641</v>
      </c>
      <c r="H16" s="582">
        <f>'Actify Budget'!K21</f>
        <v>138548.05641025642</v>
      </c>
      <c r="I16" s="582">
        <f>'Actify Budget'!L21</f>
        <v>138548.05641025642</v>
      </c>
      <c r="J16" s="582">
        <f>'Actify Budget'!M21</f>
        <v>138548.05641025642</v>
      </c>
      <c r="K16" s="582">
        <f>'Actify Budget'!N21</f>
        <v>138548.05641025642</v>
      </c>
      <c r="L16" s="582">
        <f>'Actify Budget'!O21</f>
        <v>138548.05641025642</v>
      </c>
      <c r="M16" s="582">
        <f>'Actify Budget'!P21</f>
        <v>138548.05641025642</v>
      </c>
      <c r="O16" s="582">
        <f t="shared" ref="O16:O25" si="7">SUM(B16:N16)</f>
        <v>1693713.1435897434</v>
      </c>
      <c r="Q16" s="582">
        <f>SUM(B16:D16)</f>
        <v>448988.26923076919</v>
      </c>
      <c r="R16" s="582">
        <f>SUM(E16:G16)</f>
        <v>413436.53589743591</v>
      </c>
      <c r="S16" s="582">
        <f>SUM(H16:J16)</f>
        <v>415644.16923076927</v>
      </c>
      <c r="T16" s="582">
        <f>SUM(K16:M16)</f>
        <v>415644.16923076927</v>
      </c>
    </row>
    <row r="17" spans="1:20">
      <c r="A17" s="582" t="s">
        <v>524</v>
      </c>
      <c r="B17" s="582">
        <f>'CASH FLOW'!D57-'CASH FLOW'!D25</f>
        <v>182903.99333333335</v>
      </c>
      <c r="C17" s="582">
        <f>'CASH FLOW'!E57-'CASH FLOW'!E25</f>
        <v>238349.1933333333</v>
      </c>
      <c r="D17" s="582">
        <f>'CASH FLOW'!F57-'CASH FLOW'!F25</f>
        <v>234774.04833333328</v>
      </c>
      <c r="E17" s="582">
        <f>'CASH FLOW'!G57-'CASH FLOW'!G25</f>
        <v>248130.5651833333</v>
      </c>
      <c r="F17" s="582">
        <f>'CASH FLOW'!H57-'CASH FLOW'!H25</f>
        <v>229185.3379328333</v>
      </c>
      <c r="G17" s="582">
        <f>'CASH FLOW'!I57-'CASH FLOW'!I25</f>
        <v>220684.07967489824</v>
      </c>
      <c r="H17" s="582">
        <f>'CASH FLOW'!J57-'CASH FLOW'!J25</f>
        <v>240463.03621050686</v>
      </c>
      <c r="I17" s="582">
        <f>'CASH FLOW'!K57-'CASH FLOW'!K25</f>
        <v>218881.28355004097</v>
      </c>
      <c r="J17" s="582">
        <f>'CASH FLOW'!L57-'CASH FLOW'!L25</f>
        <v>214838.74001374288</v>
      </c>
      <c r="K17" s="582">
        <f>'CASH FLOW'!M57-'CASH FLOW'!M25</f>
        <v>279731.27908605622</v>
      </c>
      <c r="L17" s="582">
        <f>'CASH FLOW'!N57-'CASH FLOW'!N25</f>
        <v>294892.21280509274</v>
      </c>
      <c r="M17" s="582">
        <f>'CASH FLOW'!O57-'CASH FLOW'!O25</f>
        <v>238721.1430263478</v>
      </c>
      <c r="O17" s="582">
        <f t="shared" si="7"/>
        <v>2841554.9124828521</v>
      </c>
      <c r="Q17" s="582">
        <f>SUM(B17:D17)</f>
        <v>656027.23499999987</v>
      </c>
      <c r="R17" s="582">
        <f>SUM(E17:G17)</f>
        <v>697999.98279106477</v>
      </c>
      <c r="S17" s="582">
        <f>SUM(H17:J17)</f>
        <v>674183.05977429077</v>
      </c>
      <c r="T17" s="582">
        <f>SUM(K17:M17)</f>
        <v>813344.6349174967</v>
      </c>
    </row>
    <row r="18" spans="1:20">
      <c r="A18" s="582" t="s">
        <v>525</v>
      </c>
      <c r="B18" s="582">
        <f>'Actify Budget'!E98-'Actify Budget'!E21</f>
        <v>94235.874615384615</v>
      </c>
      <c r="C18" s="582">
        <f>'Actify Budget'!F98-'Actify Budget'!F21</f>
        <v>104705.27461538464</v>
      </c>
      <c r="D18" s="582">
        <f>'Actify Budget'!G98-'Actify Budget'!G21</f>
        <v>106256.6746153846</v>
      </c>
      <c r="E18" s="582">
        <f>'Actify Budget'!H98-'Actify Budget'!H21</f>
        <v>101996.6746153846</v>
      </c>
      <c r="F18" s="582">
        <f>'Actify Budget'!I98-'Actify Budget'!I21</f>
        <v>109103.74128205128</v>
      </c>
      <c r="G18" s="582">
        <f>'Actify Budget'!J98-'Actify Budget'!J21</f>
        <v>126207.80328205129</v>
      </c>
      <c r="H18" s="582">
        <f>'Actify Budget'!K98-'Actify Budget'!K21</f>
        <v>103872.66228205129</v>
      </c>
      <c r="I18" s="582">
        <f>'Actify Budget'!L98-'Actify Budget'!L21</f>
        <v>109961.46228205127</v>
      </c>
      <c r="J18" s="582">
        <f>'Actify Budget'!M98-'Actify Budget'!M21</f>
        <v>131834.21679185517</v>
      </c>
      <c r="K18" s="582">
        <f>'Actify Budget'!N98-'Actify Budget'!N21</f>
        <v>107099.81679185521</v>
      </c>
      <c r="L18" s="582">
        <f>'Actify Budget'!O98-'Actify Budget'!O21</f>
        <v>106995.72626897937</v>
      </c>
      <c r="M18" s="582">
        <f>'Actify Budget'!P98-'Actify Budget'!P21</f>
        <v>107755.12626897939</v>
      </c>
      <c r="O18" s="582">
        <f t="shared" si="7"/>
        <v>1310025.0537114127</v>
      </c>
      <c r="Q18" s="582">
        <f>SUM(B18:D18)</f>
        <v>305197.82384615386</v>
      </c>
      <c r="R18" s="582">
        <f>SUM(E18:G18)</f>
        <v>337308.21917948721</v>
      </c>
      <c r="S18" s="582">
        <f>SUM(H18:J18)</f>
        <v>345668.34135595773</v>
      </c>
      <c r="T18" s="582">
        <f>SUM(K18:M18)</f>
        <v>321850.66932981397</v>
      </c>
    </row>
    <row r="19" spans="1:20">
      <c r="A19" s="582" t="s">
        <v>544</v>
      </c>
      <c r="B19" s="582">
        <f>'[4]FY07 Depart Exp'!$E$8</f>
        <v>83005.56779999999</v>
      </c>
      <c r="C19" s="582">
        <f>'[4]FY07 Depart Exp'!$E$8</f>
        <v>83005.56779999999</v>
      </c>
      <c r="D19" s="582">
        <f>'[4]FY07 Depart Exp'!$E$8</f>
        <v>83005.56779999999</v>
      </c>
      <c r="E19" s="582">
        <f>'[4]FY07 Depart Exp'!$E$8</f>
        <v>83005.56779999999</v>
      </c>
      <c r="F19" s="582">
        <f>'[4]FY07 Depart Exp'!$E$8</f>
        <v>83005.56779999999</v>
      </c>
      <c r="G19" s="582">
        <f>'[4]FY07 Depart Exp'!$E$8</f>
        <v>83005.56779999999</v>
      </c>
      <c r="H19" s="582">
        <f>'[4]FY07 Depart Exp'!$E$8</f>
        <v>83005.56779999999</v>
      </c>
      <c r="I19" s="582">
        <f>'[4]FY07 Depart Exp'!$E$8</f>
        <v>83005.56779999999</v>
      </c>
      <c r="J19" s="582">
        <f>'[4]FY07 Depart Exp'!$E$8</f>
        <v>83005.56779999999</v>
      </c>
      <c r="K19" s="582">
        <f>'[4]FY07 Depart Exp'!$E$8</f>
        <v>83005.56779999999</v>
      </c>
      <c r="L19" s="582">
        <f>'[4]FY07 Depart Exp'!$E$8</f>
        <v>83005.56779999999</v>
      </c>
      <c r="M19" s="582">
        <f>'[4]FY07 Depart Exp'!$E$8</f>
        <v>83005.56779999999</v>
      </c>
    </row>
    <row r="22" spans="1:20">
      <c r="A22" s="582" t="s">
        <v>527</v>
      </c>
      <c r="B22" s="582">
        <f>B15+B17</f>
        <v>379195.66000000003</v>
      </c>
      <c r="C22" s="582">
        <f t="shared" ref="C22:M22" si="8">C15+C17</f>
        <v>434640.86</v>
      </c>
      <c r="D22" s="582">
        <f t="shared" si="8"/>
        <v>431065.71499999997</v>
      </c>
      <c r="E22" s="582">
        <f t="shared" si="8"/>
        <v>444422.23184999998</v>
      </c>
      <c r="F22" s="582">
        <f t="shared" si="8"/>
        <v>425477.00459949998</v>
      </c>
      <c r="G22" s="582">
        <f t="shared" si="8"/>
        <v>421975.74634156493</v>
      </c>
      <c r="H22" s="582">
        <f t="shared" si="8"/>
        <v>446754.70287717355</v>
      </c>
      <c r="I22" s="582">
        <f t="shared" si="8"/>
        <v>425172.95021670766</v>
      </c>
      <c r="J22" s="582">
        <f t="shared" si="8"/>
        <v>421130.40668040956</v>
      </c>
      <c r="K22" s="582">
        <f t="shared" si="8"/>
        <v>486022.94575272291</v>
      </c>
      <c r="L22" s="582">
        <f t="shared" si="8"/>
        <v>501183.87947175943</v>
      </c>
      <c r="M22" s="582">
        <f t="shared" si="8"/>
        <v>445012.80969301448</v>
      </c>
      <c r="O22" s="582">
        <f t="shared" si="7"/>
        <v>5262054.9124828521</v>
      </c>
      <c r="Q22" s="582">
        <f>SUM(B22:D22)</f>
        <v>1244902.2349999999</v>
      </c>
      <c r="R22" s="582">
        <f>SUM(E22:G22)</f>
        <v>1291874.9827910648</v>
      </c>
      <c r="S22" s="582">
        <f>SUM(H22:J22)</f>
        <v>1293058.0597742908</v>
      </c>
      <c r="T22" s="582">
        <f>SUM(K22:M22)</f>
        <v>1432219.6349174967</v>
      </c>
    </row>
    <row r="23" spans="1:20">
      <c r="A23" s="582" t="s">
        <v>528</v>
      </c>
      <c r="B23" s="582">
        <f>B16+B18+B19</f>
        <v>338570.8654923077</v>
      </c>
      <c r="C23" s="582">
        <f t="shared" ref="C23:M23" si="9">C16+C18+C19</f>
        <v>331540.26549230772</v>
      </c>
      <c r="D23" s="582">
        <f t="shared" si="9"/>
        <v>333091.66549230763</v>
      </c>
      <c r="E23" s="582">
        <f t="shared" si="9"/>
        <v>328831.66549230763</v>
      </c>
      <c r="F23" s="582">
        <f t="shared" si="9"/>
        <v>326772.06549230765</v>
      </c>
      <c r="G23" s="582">
        <f t="shared" si="9"/>
        <v>344157.72749230766</v>
      </c>
      <c r="H23" s="582">
        <f t="shared" si="9"/>
        <v>325426.28649230767</v>
      </c>
      <c r="I23" s="582">
        <f t="shared" si="9"/>
        <v>331515.08649230772</v>
      </c>
      <c r="J23" s="582">
        <f t="shared" si="9"/>
        <v>353387.84100211156</v>
      </c>
      <c r="K23" s="582">
        <f t="shared" si="9"/>
        <v>328653.44100211165</v>
      </c>
      <c r="L23" s="582">
        <f t="shared" si="9"/>
        <v>328549.35047923576</v>
      </c>
      <c r="M23" s="582">
        <f t="shared" si="9"/>
        <v>329308.75047923578</v>
      </c>
      <c r="O23" s="582">
        <f t="shared" si="7"/>
        <v>3999805.0109011563</v>
      </c>
      <c r="Q23" s="582">
        <f>SUM(B23:D23)</f>
        <v>1003202.796476923</v>
      </c>
      <c r="R23" s="582">
        <f>SUM(E23:G23)</f>
        <v>999761.45847692294</v>
      </c>
      <c r="S23" s="582">
        <f>SUM(H23:J23)</f>
        <v>1010329.2139867269</v>
      </c>
      <c r="T23" s="582">
        <f>SUM(K23:M23)</f>
        <v>986511.54196058318</v>
      </c>
    </row>
    <row r="25" spans="1:20" s="585" customFormat="1" ht="15">
      <c r="A25" s="643" t="s">
        <v>521</v>
      </c>
      <c r="B25" s="585">
        <f>SUM(B15:B21)</f>
        <v>717766.52549230773</v>
      </c>
      <c r="C25" s="585">
        <f t="shared" ref="C25:M25" si="10">SUM(C15:C21)</f>
        <v>766181.12549230771</v>
      </c>
      <c r="D25" s="585">
        <f t="shared" si="10"/>
        <v>764157.38049230759</v>
      </c>
      <c r="E25" s="585">
        <f t="shared" si="10"/>
        <v>773253.89734230761</v>
      </c>
      <c r="F25" s="585">
        <f t="shared" si="10"/>
        <v>752249.07009180775</v>
      </c>
      <c r="G25" s="585">
        <f t="shared" si="10"/>
        <v>766133.47383387259</v>
      </c>
      <c r="H25" s="585">
        <f t="shared" si="10"/>
        <v>772180.98936948122</v>
      </c>
      <c r="I25" s="585">
        <f t="shared" si="10"/>
        <v>756688.03670901537</v>
      </c>
      <c r="J25" s="585">
        <f t="shared" si="10"/>
        <v>774518.24768252112</v>
      </c>
      <c r="K25" s="585">
        <f t="shared" si="10"/>
        <v>814676.38675483444</v>
      </c>
      <c r="L25" s="585">
        <f t="shared" si="10"/>
        <v>829733.22995099518</v>
      </c>
      <c r="M25" s="585">
        <f t="shared" si="10"/>
        <v>774321.56017225026</v>
      </c>
      <c r="O25" s="582">
        <f t="shared" si="7"/>
        <v>9261859.9233840089</v>
      </c>
      <c r="Q25" s="582">
        <f>SUM(B25:D25)</f>
        <v>2248105.0314769233</v>
      </c>
      <c r="R25" s="582">
        <f>SUM(E25:G25)</f>
        <v>2291636.4412679877</v>
      </c>
      <c r="S25" s="582">
        <f>SUM(H25:J25)</f>
        <v>2303387.2737610177</v>
      </c>
      <c r="T25" s="582">
        <f>SUM(K25:M25)</f>
        <v>2418731.1768780798</v>
      </c>
    </row>
    <row r="26" spans="1:20" s="585" customFormat="1">
      <c r="O26" s="582"/>
      <c r="Q26" s="582"/>
      <c r="R26" s="582"/>
      <c r="S26" s="582"/>
      <c r="T26" s="582"/>
    </row>
    <row r="27" spans="1:20" s="585" customFormat="1">
      <c r="A27" s="585" t="s">
        <v>543</v>
      </c>
      <c r="B27" s="585">
        <f>'Actify Budget'!E17</f>
        <v>45178</v>
      </c>
      <c r="C27" s="585">
        <f>'Actify Budget'!F17</f>
        <v>45178</v>
      </c>
      <c r="D27" s="585">
        <f>'Actify Budget'!G17</f>
        <v>45178</v>
      </c>
      <c r="E27" s="585">
        <f>'Actify Budget'!H17</f>
        <v>45178</v>
      </c>
      <c r="F27" s="585">
        <f>'Actify Budget'!I17</f>
        <v>45178</v>
      </c>
      <c r="G27" s="585">
        <f>'Actify Budget'!J17</f>
        <v>45178</v>
      </c>
      <c r="H27" s="585">
        <f>'Actify Budget'!K17</f>
        <v>45178</v>
      </c>
      <c r="I27" s="585">
        <f>'Actify Budget'!L17</f>
        <v>45178</v>
      </c>
      <c r="J27" s="585">
        <f>'Actify Budget'!M17</f>
        <v>45178</v>
      </c>
      <c r="K27" s="585">
        <f>'Actify Budget'!N17</f>
        <v>45178</v>
      </c>
      <c r="L27" s="585">
        <f>'Actify Budget'!O17</f>
        <v>45178</v>
      </c>
      <c r="M27" s="585">
        <f>'Actify Budget'!P17</f>
        <v>45178</v>
      </c>
      <c r="O27" s="582"/>
      <c r="Q27" s="582"/>
      <c r="R27" s="582"/>
      <c r="S27" s="582"/>
      <c r="T27" s="582"/>
    </row>
    <row r="29" spans="1:20" ht="18.75">
      <c r="A29" s="588" t="s">
        <v>182</v>
      </c>
      <c r="B29" s="582">
        <f>B4+B11-B25-B27</f>
        <v>340387.47450769227</v>
      </c>
      <c r="C29" s="582">
        <f t="shared" ref="C29:M29" si="11">C4+C11-C25-C27</f>
        <v>269370.89901538461</v>
      </c>
      <c r="D29" s="582">
        <f t="shared" si="11"/>
        <v>286657.71852307685</v>
      </c>
      <c r="E29" s="582">
        <f t="shared" si="11"/>
        <v>463135.72118076927</v>
      </c>
      <c r="F29" s="582">
        <f t="shared" si="11"/>
        <v>482971.25108896149</v>
      </c>
      <c r="G29" s="582">
        <f t="shared" si="11"/>
        <v>299515.82725508895</v>
      </c>
      <c r="H29" s="582">
        <f t="shared" si="11"/>
        <v>114556.23788560764</v>
      </c>
      <c r="I29" s="582">
        <f t="shared" si="11"/>
        <v>58541.501176592312</v>
      </c>
      <c r="J29" s="582">
        <f t="shared" si="11"/>
        <v>-222076.94650592876</v>
      </c>
      <c r="K29" s="582">
        <f t="shared" si="11"/>
        <v>-201658.1832607633</v>
      </c>
      <c r="L29" s="582">
        <f t="shared" si="11"/>
        <v>250757.13678824157</v>
      </c>
      <c r="M29" s="582">
        <f t="shared" si="11"/>
        <v>299329.87661599135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0"/>
  <sheetViews>
    <sheetView workbookViewId="0">
      <selection activeCell="Q14" sqref="Q14"/>
    </sheetView>
  </sheetViews>
  <sheetFormatPr defaultRowHeight="12"/>
  <cols>
    <col min="1" max="1" width="9.140625" style="590"/>
    <col min="2" max="2" width="9.140625" style="621"/>
    <col min="3" max="3" width="32.28515625" style="590" bestFit="1" customWidth="1"/>
    <col min="4" max="4" width="7.7109375" style="622" hidden="1" customWidth="1"/>
    <col min="5" max="16" width="11" style="590" bestFit="1" customWidth="1"/>
    <col min="17" max="17" width="10" style="590" bestFit="1" customWidth="1"/>
    <col min="18" max="16384" width="9.140625" style="590"/>
  </cols>
  <sheetData>
    <row r="1" spans="1:22" ht="24">
      <c r="A1" s="589" t="s">
        <v>443</v>
      </c>
      <c r="B1" s="628" t="s">
        <v>444</v>
      </c>
      <c r="C1" s="629" t="s">
        <v>445</v>
      </c>
      <c r="D1" s="630" t="s">
        <v>446</v>
      </c>
      <c r="E1" s="631">
        <v>39814</v>
      </c>
      <c r="F1" s="631">
        <v>39845</v>
      </c>
      <c r="G1" s="631">
        <v>39873</v>
      </c>
      <c r="H1" s="631">
        <v>39904</v>
      </c>
      <c r="I1" s="631">
        <v>39942</v>
      </c>
      <c r="J1" s="631">
        <v>39965</v>
      </c>
      <c r="K1" s="631">
        <v>39995</v>
      </c>
      <c r="L1" s="631">
        <v>40026</v>
      </c>
      <c r="M1" s="631">
        <v>40065</v>
      </c>
      <c r="N1" s="631">
        <v>40087</v>
      </c>
      <c r="O1" s="631">
        <v>40118</v>
      </c>
      <c r="P1" s="631">
        <v>40148</v>
      </c>
      <c r="Q1" s="632" t="s">
        <v>150</v>
      </c>
      <c r="R1" s="633"/>
      <c r="S1" s="632" t="s">
        <v>161</v>
      </c>
      <c r="T1" s="632" t="s">
        <v>158</v>
      </c>
      <c r="U1" s="632" t="s">
        <v>159</v>
      </c>
      <c r="V1" s="632" t="s">
        <v>160</v>
      </c>
    </row>
    <row r="2" spans="1:22" s="624" customFormat="1">
      <c r="A2" s="623"/>
      <c r="B2" s="634"/>
      <c r="C2" s="627"/>
      <c r="D2" s="635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7"/>
      <c r="R2" s="637"/>
      <c r="S2" s="637"/>
      <c r="T2" s="637"/>
      <c r="U2" s="637"/>
      <c r="V2" s="637"/>
    </row>
    <row r="3" spans="1:22" s="624" customFormat="1">
      <c r="A3" s="623"/>
      <c r="B3" s="634"/>
      <c r="C3" s="627"/>
      <c r="D3" s="635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7"/>
      <c r="R3" s="637"/>
      <c r="S3" s="637"/>
      <c r="T3" s="637"/>
      <c r="U3" s="637"/>
      <c r="V3" s="637"/>
    </row>
    <row r="4" spans="1:22" s="626" customFormat="1" ht="12.75">
      <c r="A4" s="625"/>
      <c r="B4" s="638"/>
      <c r="C4" s="582" t="s">
        <v>418</v>
      </c>
      <c r="D4" s="582">
        <v>195557</v>
      </c>
      <c r="E4" s="641">
        <v>195557</v>
      </c>
      <c r="F4" s="641">
        <v>124113</v>
      </c>
      <c r="G4" s="641">
        <v>227450</v>
      </c>
      <c r="H4" s="641">
        <v>186718</v>
      </c>
      <c r="I4" s="641">
        <v>137644</v>
      </c>
      <c r="J4" s="641">
        <v>181937</v>
      </c>
      <c r="K4" s="641">
        <v>285947</v>
      </c>
      <c r="L4" s="641">
        <v>197478</v>
      </c>
      <c r="M4" s="641">
        <v>114831</v>
      </c>
      <c r="N4" s="641">
        <v>225513</v>
      </c>
      <c r="O4" s="641">
        <v>191510</v>
      </c>
      <c r="P4" s="641">
        <v>165578</v>
      </c>
      <c r="Q4" s="641">
        <f>SUM(E4:P4)</f>
        <v>2234276</v>
      </c>
      <c r="R4" s="639"/>
      <c r="S4" s="594">
        <f t="shared" ref="S4" si="0">SUM(E4:G4)</f>
        <v>547120</v>
      </c>
      <c r="T4" s="594">
        <f t="shared" ref="T4" si="1">SUM(H4:J4)</f>
        <v>506299</v>
      </c>
      <c r="U4" s="594">
        <f t="shared" ref="U4" si="2">SUM(K4:M4)</f>
        <v>598256</v>
      </c>
      <c r="V4" s="594">
        <f t="shared" ref="V4" si="3">SUM(N4:P4)</f>
        <v>582601</v>
      </c>
    </row>
    <row r="5" spans="1:22" s="626" customFormat="1" ht="12.75">
      <c r="A5" s="625"/>
      <c r="B5" s="638"/>
      <c r="C5" s="582" t="s">
        <v>414</v>
      </c>
      <c r="D5" s="582">
        <v>119371</v>
      </c>
      <c r="E5" s="641">
        <v>119371</v>
      </c>
      <c r="F5" s="641">
        <v>218682</v>
      </c>
      <c r="G5" s="641">
        <v>208974</v>
      </c>
      <c r="H5" s="641">
        <v>141427</v>
      </c>
      <c r="I5" s="641">
        <v>193204</v>
      </c>
      <c r="J5" s="641">
        <v>148165</v>
      </c>
      <c r="K5" s="641">
        <v>143193</v>
      </c>
      <c r="L5" s="641">
        <v>173570</v>
      </c>
      <c r="M5" s="641">
        <v>105481</v>
      </c>
      <c r="N5" s="641">
        <v>185802</v>
      </c>
      <c r="O5" s="641">
        <v>192053</v>
      </c>
      <c r="P5" s="641">
        <v>119371</v>
      </c>
      <c r="Q5" s="641">
        <f t="shared" ref="Q5:Q6" si="4">SUM(E5:P5)</f>
        <v>1949293</v>
      </c>
      <c r="R5" s="639"/>
      <c r="S5" s="594">
        <f t="shared" ref="S5:S17" si="5">SUM(E5:G5)</f>
        <v>547027</v>
      </c>
      <c r="T5" s="594">
        <f t="shared" ref="T5:T17" si="6">SUM(H5:J5)</f>
        <v>482796</v>
      </c>
      <c r="U5" s="594">
        <f t="shared" ref="U5:U17" si="7">SUM(K5:M5)</f>
        <v>422244</v>
      </c>
      <c r="V5" s="594">
        <f t="shared" ref="V5:V17" si="8">SUM(N5:P5)</f>
        <v>497226</v>
      </c>
    </row>
    <row r="6" spans="1:22" s="626" customFormat="1" ht="12.75">
      <c r="A6" s="625"/>
      <c r="B6" s="638"/>
      <c r="C6" s="582" t="s">
        <v>534</v>
      </c>
      <c r="D6" s="582">
        <f>SUM(D4:D5)</f>
        <v>314928</v>
      </c>
      <c r="E6" s="641">
        <f t="shared" ref="E6:P6" si="9">SUM(E4:E5)</f>
        <v>314928</v>
      </c>
      <c r="F6" s="641">
        <f t="shared" si="9"/>
        <v>342795</v>
      </c>
      <c r="G6" s="641">
        <f t="shared" si="9"/>
        <v>436424</v>
      </c>
      <c r="H6" s="641">
        <f t="shared" si="9"/>
        <v>328145</v>
      </c>
      <c r="I6" s="641">
        <f t="shared" si="9"/>
        <v>330848</v>
      </c>
      <c r="J6" s="641">
        <f t="shared" si="9"/>
        <v>330102</v>
      </c>
      <c r="K6" s="641">
        <f t="shared" si="9"/>
        <v>429140</v>
      </c>
      <c r="L6" s="641">
        <f t="shared" si="9"/>
        <v>371048</v>
      </c>
      <c r="M6" s="641">
        <f t="shared" si="9"/>
        <v>220312</v>
      </c>
      <c r="N6" s="641">
        <f t="shared" si="9"/>
        <v>411315</v>
      </c>
      <c r="O6" s="641">
        <f t="shared" si="9"/>
        <v>383563</v>
      </c>
      <c r="P6" s="641">
        <f t="shared" si="9"/>
        <v>284949</v>
      </c>
      <c r="Q6" s="641">
        <f t="shared" si="4"/>
        <v>4183569</v>
      </c>
      <c r="R6" s="639"/>
      <c r="S6" s="594">
        <f t="shared" si="5"/>
        <v>1094147</v>
      </c>
      <c r="T6" s="594">
        <f t="shared" si="6"/>
        <v>989095</v>
      </c>
      <c r="U6" s="594">
        <f t="shared" si="7"/>
        <v>1020500</v>
      </c>
      <c r="V6" s="594">
        <f t="shared" si="8"/>
        <v>1079827</v>
      </c>
    </row>
    <row r="7" spans="1:22" s="624" customFormat="1">
      <c r="A7" s="623"/>
      <c r="B7" s="634"/>
      <c r="C7" s="627"/>
      <c r="D7" s="635"/>
      <c r="E7" s="642"/>
      <c r="F7" s="642"/>
      <c r="G7" s="642"/>
      <c r="H7" s="642"/>
      <c r="I7" s="642"/>
      <c r="J7" s="642"/>
      <c r="K7" s="642"/>
      <c r="L7" s="642"/>
      <c r="M7" s="642"/>
      <c r="N7" s="642"/>
      <c r="O7" s="642"/>
      <c r="P7" s="642"/>
      <c r="Q7" s="641"/>
      <c r="R7" s="637"/>
      <c r="S7" s="594"/>
      <c r="T7" s="594"/>
      <c r="U7" s="594"/>
      <c r="V7" s="594"/>
    </row>
    <row r="8" spans="1:22" s="624" customFormat="1">
      <c r="A8" s="623"/>
      <c r="B8" s="634"/>
      <c r="C8" s="627" t="s">
        <v>537</v>
      </c>
      <c r="D8" s="635"/>
      <c r="E8" s="642">
        <f>750000</f>
        <v>750000</v>
      </c>
      <c r="F8" s="642">
        <f>E14</f>
        <v>761196</v>
      </c>
      <c r="G8" s="642">
        <f t="shared" ref="G8:O8" si="10">F14</f>
        <v>804335.45</v>
      </c>
      <c r="H8" s="642">
        <f t="shared" si="10"/>
        <v>878737.25</v>
      </c>
      <c r="I8" s="642">
        <f t="shared" si="10"/>
        <v>811572.35</v>
      </c>
      <c r="J8" s="642">
        <f t="shared" si="10"/>
        <v>797357.75000000012</v>
      </c>
      <c r="K8" s="642">
        <f t="shared" si="10"/>
        <v>797203.7</v>
      </c>
      <c r="L8" s="642">
        <f t="shared" si="10"/>
        <v>871370.3</v>
      </c>
      <c r="M8" s="642">
        <f t="shared" si="10"/>
        <v>842657</v>
      </c>
      <c r="N8" s="642">
        <f t="shared" si="10"/>
        <v>720891.2</v>
      </c>
      <c r="O8" s="642">
        <f t="shared" si="10"/>
        <v>841533.05</v>
      </c>
      <c r="P8" s="642">
        <f t="shared" ref="P8" si="11">O14</f>
        <v>849369.5</v>
      </c>
      <c r="Q8" s="641"/>
      <c r="R8" s="637"/>
      <c r="S8" s="594">
        <f t="shared" si="5"/>
        <v>2315531.4500000002</v>
      </c>
      <c r="T8" s="594">
        <f t="shared" si="6"/>
        <v>2487667.35</v>
      </c>
      <c r="U8" s="594">
        <f t="shared" si="7"/>
        <v>2511231</v>
      </c>
      <c r="V8" s="594">
        <f t="shared" si="8"/>
        <v>2411793.75</v>
      </c>
    </row>
    <row r="9" spans="1:22" s="624" customFormat="1">
      <c r="A9" s="623"/>
      <c r="B9" s="634"/>
      <c r="C9" s="624" t="s">
        <v>538</v>
      </c>
      <c r="D9" s="635"/>
      <c r="E9" s="642">
        <f>E6</f>
        <v>314928</v>
      </c>
      <c r="F9" s="642">
        <f t="shared" ref="F9:O9" si="12">F6</f>
        <v>342795</v>
      </c>
      <c r="G9" s="642">
        <f t="shared" si="12"/>
        <v>436424</v>
      </c>
      <c r="H9" s="642">
        <f t="shared" si="12"/>
        <v>328145</v>
      </c>
      <c r="I9" s="642">
        <f t="shared" si="12"/>
        <v>330848</v>
      </c>
      <c r="J9" s="642">
        <f t="shared" si="12"/>
        <v>330102</v>
      </c>
      <c r="K9" s="642">
        <f t="shared" si="12"/>
        <v>429140</v>
      </c>
      <c r="L9" s="642">
        <f t="shared" si="12"/>
        <v>371048</v>
      </c>
      <c r="M9" s="642">
        <f t="shared" si="12"/>
        <v>220312</v>
      </c>
      <c r="N9" s="642">
        <f t="shared" si="12"/>
        <v>411315</v>
      </c>
      <c r="O9" s="642">
        <f t="shared" si="12"/>
        <v>383563</v>
      </c>
      <c r="P9" s="642">
        <f t="shared" ref="P9" si="13">P6</f>
        <v>284949</v>
      </c>
      <c r="Q9" s="641"/>
      <c r="R9" s="637"/>
      <c r="S9" s="594">
        <f t="shared" si="5"/>
        <v>1094147</v>
      </c>
      <c r="T9" s="594">
        <f t="shared" si="6"/>
        <v>989095</v>
      </c>
      <c r="U9" s="594">
        <f t="shared" si="7"/>
        <v>1020500</v>
      </c>
      <c r="V9" s="594">
        <f t="shared" si="8"/>
        <v>1079827</v>
      </c>
    </row>
    <row r="10" spans="1:22" s="624" customFormat="1">
      <c r="A10" s="623"/>
      <c r="B10" s="634"/>
      <c r="C10" s="624" t="s">
        <v>541</v>
      </c>
      <c r="D10" s="635"/>
      <c r="E10" s="642">
        <f>E9*0.25</f>
        <v>78732</v>
      </c>
      <c r="F10" s="642">
        <f>F9*0.25</f>
        <v>85698.75</v>
      </c>
      <c r="G10" s="642">
        <f>G9*0.25</f>
        <v>109106</v>
      </c>
      <c r="H10" s="642">
        <f t="shared" ref="H10:P10" si="14">H9*0.25</f>
        <v>82036.25</v>
      </c>
      <c r="I10" s="642">
        <f t="shared" si="14"/>
        <v>82712</v>
      </c>
      <c r="J10" s="642">
        <f t="shared" si="14"/>
        <v>82525.5</v>
      </c>
      <c r="K10" s="642">
        <f t="shared" si="14"/>
        <v>107285</v>
      </c>
      <c r="L10" s="642">
        <f t="shared" si="14"/>
        <v>92762</v>
      </c>
      <c r="M10" s="642">
        <f t="shared" si="14"/>
        <v>55078</v>
      </c>
      <c r="N10" s="642">
        <f t="shared" si="14"/>
        <v>102828.75</v>
      </c>
      <c r="O10" s="642">
        <f t="shared" si="14"/>
        <v>95890.75</v>
      </c>
      <c r="P10" s="642">
        <f t="shared" si="14"/>
        <v>71237.25</v>
      </c>
      <c r="Q10" s="641"/>
      <c r="R10" s="637"/>
      <c r="S10" s="594">
        <f t="shared" si="5"/>
        <v>273536.75</v>
      </c>
      <c r="T10" s="594">
        <f t="shared" si="6"/>
        <v>247273.75</v>
      </c>
      <c r="U10" s="594">
        <f t="shared" si="7"/>
        <v>255125</v>
      </c>
      <c r="V10" s="594">
        <f t="shared" si="8"/>
        <v>269956.75</v>
      </c>
    </row>
    <row r="11" spans="1:22" s="624" customFormat="1">
      <c r="A11" s="623"/>
      <c r="B11" s="634"/>
      <c r="C11" s="627" t="s">
        <v>542</v>
      </c>
      <c r="D11" s="635"/>
      <c r="E11" s="642">
        <v>150000</v>
      </c>
      <c r="F11" s="642">
        <f>E9*0.6</f>
        <v>188956.79999999999</v>
      </c>
      <c r="G11" s="642">
        <f>F9*0.6</f>
        <v>205677</v>
      </c>
      <c r="H11" s="642">
        <f t="shared" ref="H11:O11" si="15">G9*0.6</f>
        <v>261854.4</v>
      </c>
      <c r="I11" s="642">
        <f t="shared" si="15"/>
        <v>196887</v>
      </c>
      <c r="J11" s="642">
        <f t="shared" si="15"/>
        <v>198508.79999999999</v>
      </c>
      <c r="K11" s="642">
        <f t="shared" si="15"/>
        <v>198061.19999999998</v>
      </c>
      <c r="L11" s="642">
        <f t="shared" si="15"/>
        <v>257484</v>
      </c>
      <c r="M11" s="642">
        <f t="shared" si="15"/>
        <v>222628.8</v>
      </c>
      <c r="N11" s="642">
        <f t="shared" si="15"/>
        <v>132187.19999999998</v>
      </c>
      <c r="O11" s="642">
        <f t="shared" si="15"/>
        <v>246789</v>
      </c>
      <c r="P11" s="642">
        <f t="shared" ref="P11" si="16">O9*0.6</f>
        <v>230137.8</v>
      </c>
      <c r="Q11" s="641"/>
      <c r="R11" s="637"/>
      <c r="S11" s="594">
        <f t="shared" si="5"/>
        <v>544633.80000000005</v>
      </c>
      <c r="T11" s="594">
        <f t="shared" si="6"/>
        <v>657250.19999999995</v>
      </c>
      <c r="U11" s="594">
        <f t="shared" si="7"/>
        <v>678174</v>
      </c>
      <c r="V11" s="594">
        <f t="shared" si="8"/>
        <v>609114</v>
      </c>
    </row>
    <row r="12" spans="1:22" s="624" customFormat="1">
      <c r="A12" s="623"/>
      <c r="B12" s="634"/>
      <c r="C12" s="627" t="s">
        <v>539</v>
      </c>
      <c r="D12" s="635"/>
      <c r="E12" s="642">
        <v>75000</v>
      </c>
      <c r="F12" s="642">
        <v>25000</v>
      </c>
      <c r="G12" s="642">
        <f>E9*0.15</f>
        <v>47239.199999999997</v>
      </c>
      <c r="H12" s="642">
        <f t="shared" ref="H12:P12" si="17">F9*0.15</f>
        <v>51419.25</v>
      </c>
      <c r="I12" s="642">
        <f t="shared" si="17"/>
        <v>65463.6</v>
      </c>
      <c r="J12" s="642">
        <f t="shared" si="17"/>
        <v>49221.75</v>
      </c>
      <c r="K12" s="642">
        <f t="shared" si="17"/>
        <v>49627.199999999997</v>
      </c>
      <c r="L12" s="642">
        <f t="shared" si="17"/>
        <v>49515.299999999996</v>
      </c>
      <c r="M12" s="642">
        <f t="shared" si="17"/>
        <v>64371</v>
      </c>
      <c r="N12" s="642">
        <f t="shared" si="17"/>
        <v>55657.2</v>
      </c>
      <c r="O12" s="642">
        <f t="shared" si="17"/>
        <v>33046.799999999996</v>
      </c>
      <c r="P12" s="642">
        <f t="shared" si="17"/>
        <v>61697.25</v>
      </c>
      <c r="Q12" s="641"/>
      <c r="R12" s="637"/>
      <c r="S12" s="594">
        <f t="shared" si="5"/>
        <v>147239.20000000001</v>
      </c>
      <c r="T12" s="594">
        <f t="shared" si="6"/>
        <v>166104.6</v>
      </c>
      <c r="U12" s="594">
        <f t="shared" si="7"/>
        <v>163513.5</v>
      </c>
      <c r="V12" s="594">
        <f t="shared" si="8"/>
        <v>150401.25</v>
      </c>
    </row>
    <row r="13" spans="1:22" s="624" customFormat="1">
      <c r="A13" s="623"/>
      <c r="B13" s="634"/>
      <c r="C13" s="627" t="s">
        <v>13</v>
      </c>
      <c r="D13" s="635"/>
      <c r="E13" s="642">
        <f>SUM(E10:E12)</f>
        <v>303732</v>
      </c>
      <c r="F13" s="642">
        <f>SUM(F10:F12)</f>
        <v>299655.55</v>
      </c>
      <c r="G13" s="642">
        <f t="shared" ref="G13:P13" si="18">SUM(G10:G12)</f>
        <v>362022.2</v>
      </c>
      <c r="H13" s="642">
        <f t="shared" si="18"/>
        <v>395309.9</v>
      </c>
      <c r="I13" s="642">
        <f t="shared" si="18"/>
        <v>345062.6</v>
      </c>
      <c r="J13" s="642">
        <f t="shared" si="18"/>
        <v>330256.05</v>
      </c>
      <c r="K13" s="642">
        <f t="shared" si="18"/>
        <v>354973.39999999997</v>
      </c>
      <c r="L13" s="642">
        <f t="shared" si="18"/>
        <v>399761.3</v>
      </c>
      <c r="M13" s="642">
        <f t="shared" si="18"/>
        <v>342077.8</v>
      </c>
      <c r="N13" s="642">
        <f t="shared" si="18"/>
        <v>290673.14999999997</v>
      </c>
      <c r="O13" s="642">
        <f t="shared" si="18"/>
        <v>375726.55</v>
      </c>
      <c r="P13" s="642">
        <f t="shared" si="18"/>
        <v>363072.3</v>
      </c>
      <c r="Q13" s="641">
        <f>SUM(E13:P13)</f>
        <v>4162322.7999999993</v>
      </c>
      <c r="R13" s="637"/>
      <c r="S13" s="594">
        <f t="shared" si="5"/>
        <v>965409.75</v>
      </c>
      <c r="T13" s="594">
        <f t="shared" si="6"/>
        <v>1070628.55</v>
      </c>
      <c r="U13" s="594">
        <f t="shared" si="7"/>
        <v>1096812.5</v>
      </c>
      <c r="V13" s="594">
        <f t="shared" si="8"/>
        <v>1029472</v>
      </c>
    </row>
    <row r="14" spans="1:22" s="624" customFormat="1">
      <c r="A14" s="623"/>
      <c r="B14" s="634"/>
      <c r="C14" s="627" t="s">
        <v>540</v>
      </c>
      <c r="D14" s="635"/>
      <c r="E14" s="642">
        <f>E8+E9-E13</f>
        <v>761196</v>
      </c>
      <c r="F14" s="642">
        <f>F8+F9-F13</f>
        <v>804335.45</v>
      </c>
      <c r="G14" s="642">
        <f t="shared" ref="G14:P14" si="19">G8+G9-G13</f>
        <v>878737.25</v>
      </c>
      <c r="H14" s="642">
        <f t="shared" si="19"/>
        <v>811572.35</v>
      </c>
      <c r="I14" s="642">
        <f t="shared" si="19"/>
        <v>797357.75000000012</v>
      </c>
      <c r="J14" s="642">
        <f t="shared" si="19"/>
        <v>797203.7</v>
      </c>
      <c r="K14" s="642">
        <f t="shared" si="19"/>
        <v>871370.3</v>
      </c>
      <c r="L14" s="642">
        <f t="shared" si="19"/>
        <v>842657</v>
      </c>
      <c r="M14" s="642">
        <f t="shared" si="19"/>
        <v>720891.2</v>
      </c>
      <c r="N14" s="642">
        <f t="shared" si="19"/>
        <v>841533.05</v>
      </c>
      <c r="O14" s="642">
        <f t="shared" si="19"/>
        <v>849369.5</v>
      </c>
      <c r="P14" s="642">
        <f t="shared" si="19"/>
        <v>771246.2</v>
      </c>
      <c r="Q14" s="641"/>
      <c r="R14" s="637"/>
      <c r="S14" s="594">
        <f t="shared" si="5"/>
        <v>2444268.7000000002</v>
      </c>
      <c r="T14" s="594">
        <f t="shared" si="6"/>
        <v>2406133.7999999998</v>
      </c>
      <c r="U14" s="594">
        <f t="shared" si="7"/>
        <v>2434918.5</v>
      </c>
      <c r="V14" s="594">
        <f t="shared" si="8"/>
        <v>2462148.75</v>
      </c>
    </row>
    <row r="15" spans="1:22" s="624" customFormat="1">
      <c r="A15" s="623"/>
      <c r="B15" s="634"/>
      <c r="C15" s="627"/>
      <c r="D15" s="635"/>
      <c r="E15" s="636"/>
      <c r="F15" s="636"/>
      <c r="G15" s="636"/>
      <c r="H15" s="636"/>
      <c r="I15" s="636"/>
      <c r="J15" s="636"/>
      <c r="K15" s="636"/>
      <c r="L15" s="636"/>
      <c r="M15" s="636"/>
      <c r="N15" s="636"/>
      <c r="O15" s="636"/>
      <c r="P15" s="636"/>
      <c r="Q15" s="637"/>
      <c r="R15" s="637"/>
      <c r="S15" s="594"/>
      <c r="T15" s="594"/>
      <c r="U15" s="594"/>
      <c r="V15" s="594"/>
    </row>
    <row r="16" spans="1:22" s="624" customFormat="1">
      <c r="A16" s="623"/>
      <c r="B16" s="634"/>
      <c r="C16" s="627"/>
      <c r="D16" s="635"/>
      <c r="E16" s="636"/>
      <c r="F16" s="636"/>
      <c r="G16" s="636"/>
      <c r="H16" s="636"/>
      <c r="I16" s="636"/>
      <c r="J16" s="636"/>
      <c r="K16" s="636"/>
      <c r="L16" s="636"/>
      <c r="M16" s="636"/>
      <c r="N16" s="636"/>
      <c r="O16" s="636"/>
      <c r="P16" s="636"/>
      <c r="Q16" s="637"/>
      <c r="R16" s="637"/>
      <c r="S16" s="594"/>
      <c r="T16" s="594"/>
      <c r="U16" s="594"/>
      <c r="V16" s="594"/>
    </row>
    <row r="17" spans="1:22" s="624" customFormat="1">
      <c r="A17" s="623"/>
      <c r="B17" s="634"/>
      <c r="C17" s="627" t="s">
        <v>535</v>
      </c>
      <c r="D17" s="635"/>
      <c r="E17" s="636">
        <v>45178</v>
      </c>
      <c r="F17" s="636">
        <v>45178</v>
      </c>
      <c r="G17" s="636">
        <v>45178</v>
      </c>
      <c r="H17" s="636">
        <v>45178</v>
      </c>
      <c r="I17" s="636">
        <v>45178</v>
      </c>
      <c r="J17" s="636">
        <v>45178</v>
      </c>
      <c r="K17" s="636">
        <v>45178</v>
      </c>
      <c r="L17" s="636">
        <v>45178</v>
      </c>
      <c r="M17" s="636">
        <v>45178</v>
      </c>
      <c r="N17" s="636">
        <v>45178</v>
      </c>
      <c r="O17" s="636">
        <v>45178</v>
      </c>
      <c r="P17" s="636">
        <v>45178</v>
      </c>
      <c r="Q17" s="637">
        <f>SUM(E17:P17)</f>
        <v>542136</v>
      </c>
      <c r="R17" s="637"/>
      <c r="S17" s="594">
        <f t="shared" si="5"/>
        <v>135534</v>
      </c>
      <c r="T17" s="594">
        <f t="shared" si="6"/>
        <v>135534</v>
      </c>
      <c r="U17" s="594">
        <f t="shared" si="7"/>
        <v>135534</v>
      </c>
      <c r="V17" s="594">
        <f t="shared" si="8"/>
        <v>135534</v>
      </c>
    </row>
    <row r="18" spans="1:22" s="624" customFormat="1">
      <c r="A18" s="623"/>
      <c r="B18" s="634"/>
      <c r="C18" s="627" t="s">
        <v>536</v>
      </c>
      <c r="D18" s="635"/>
      <c r="E18" s="636"/>
      <c r="F18" s="636"/>
      <c r="G18" s="636"/>
      <c r="H18" s="636"/>
      <c r="I18" s="636"/>
      <c r="J18" s="636"/>
      <c r="K18" s="636"/>
      <c r="L18" s="636"/>
      <c r="M18" s="636"/>
      <c r="N18" s="636"/>
      <c r="O18" s="636"/>
      <c r="P18" s="636"/>
      <c r="Q18" s="637"/>
      <c r="R18" s="637"/>
      <c r="S18" s="637"/>
      <c r="T18" s="637"/>
      <c r="U18" s="637"/>
      <c r="V18" s="637"/>
    </row>
    <row r="19" spans="1:22" s="624" customFormat="1">
      <c r="A19" s="623"/>
      <c r="B19" s="634"/>
      <c r="C19" s="627"/>
      <c r="D19" s="635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7"/>
      <c r="R19" s="637"/>
      <c r="S19" s="637"/>
      <c r="T19" s="637"/>
      <c r="U19" s="637"/>
      <c r="V19" s="637"/>
    </row>
    <row r="20" spans="1:22">
      <c r="A20" s="595"/>
      <c r="B20" s="591"/>
      <c r="C20" s="592"/>
      <c r="D20" s="593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  <c r="U20" s="594"/>
      <c r="V20" s="594"/>
    </row>
    <row r="21" spans="1:22" ht="12.75">
      <c r="A21" s="595"/>
      <c r="B21" s="591">
        <v>40100</v>
      </c>
      <c r="C21" s="596" t="s">
        <v>447</v>
      </c>
      <c r="D21" s="593">
        <f>+'[5]R&amp;D May Comparison'!B9</f>
        <v>75970.916666666672</v>
      </c>
      <c r="E21" s="594">
        <f>+[4]Admin!E6+[4]BOO!E6+[4]NA!E6+[4]Engineering!E6+[4]Marketing!E6+'[4]NA Sales'!E6</f>
        <v>161329.42307692306</v>
      </c>
      <c r="F21" s="594">
        <f>+[4]Admin!F6+[4]BOO!F6+[4]NA!F6+[4]Engineering!F6+[4]Marketing!F6+'[4]NA Sales'!F6</f>
        <v>143829.42307692306</v>
      </c>
      <c r="G21" s="594">
        <f>+[4]Admin!G6+[4]BOO!G6+[4]NA!G6+[4]Engineering!G6+[4]Marketing!G6+'[4]NA Sales'!G6</f>
        <v>143829.42307692306</v>
      </c>
      <c r="H21" s="594">
        <f>+[4]Admin!H6+[4]BOO!H6+[4]NA!H6+[4]Engineering!H6+[4]Marketing!H6+'[4]NA Sales'!H6</f>
        <v>143829.42307692306</v>
      </c>
      <c r="I21" s="594">
        <f>+[4]Admin!I6+[4]BOO!I6+[4]NA!I6+[4]Engineering!I6+[4]Marketing!I6+'[4]NA Sales'!I6</f>
        <v>134662.75641025641</v>
      </c>
      <c r="J21" s="594">
        <f>+[4]Admin!J6+[4]BOO!J6+[4]NA!J6+[4]Engineering!J6+[4]Marketing!J6+'[4]NA Sales'!J6</f>
        <v>134944.35641025641</v>
      </c>
      <c r="K21" s="594">
        <f>+[4]Admin!K6+[4]BOO!K6+[4]NA!K6+[4]Engineering!K6+[4]Marketing!K6+'[4]NA Sales'!K6</f>
        <v>138548.05641025642</v>
      </c>
      <c r="L21" s="594">
        <f>+[4]Admin!L6+[4]BOO!L6+[4]NA!L6+[4]Engineering!L6+[4]Marketing!L6+'[4]NA Sales'!L6</f>
        <v>138548.05641025642</v>
      </c>
      <c r="M21" s="594">
        <f>+[4]Admin!M6+[4]BOO!M6+[4]NA!M6+[4]Engineering!M6+[4]Marketing!M6+'[4]NA Sales'!M6</f>
        <v>138548.05641025642</v>
      </c>
      <c r="N21" s="594">
        <f>+[4]Admin!N6+[4]BOO!N6+[4]NA!N6+[4]Engineering!N6+[4]Marketing!N6+'[4]NA Sales'!N6</f>
        <v>138548.05641025642</v>
      </c>
      <c r="O21" s="594">
        <f>+[4]Admin!O6+[4]BOO!O6+[4]NA!O6+[4]Engineering!O6+[4]Marketing!O6+'[4]NA Sales'!O6</f>
        <v>138548.05641025642</v>
      </c>
      <c r="P21" s="594">
        <f>+[4]Admin!P6+[4]BOO!P6+[4]NA!P6+[4]Engineering!P6+[4]Marketing!P6+'[4]NA Sales'!P6</f>
        <v>138548.05641025642</v>
      </c>
      <c r="Q21" s="594">
        <f t="shared" ref="Q21:Q31" si="20">SUM(E21:P21)</f>
        <v>1693713.1435897434</v>
      </c>
      <c r="R21" s="594"/>
      <c r="S21" s="594">
        <f t="shared" ref="S21:S31" si="21">SUM(E21:G21)</f>
        <v>448988.26923076919</v>
      </c>
      <c r="T21" s="594">
        <f t="shared" ref="T21:T31" si="22">SUM(H21:J21)</f>
        <v>413436.53589743591</v>
      </c>
      <c r="U21" s="594">
        <f t="shared" ref="U21:U31" si="23">SUM(K21:M21)</f>
        <v>415644.16923076927</v>
      </c>
      <c r="V21" s="594">
        <f t="shared" ref="V21:V31" si="24">SUM(N21:P21)</f>
        <v>415644.16923076927</v>
      </c>
    </row>
    <row r="22" spans="1:22" ht="12.75">
      <c r="A22" s="595"/>
      <c r="B22" s="591"/>
      <c r="C22" s="596"/>
      <c r="D22" s="593"/>
      <c r="E22" s="594"/>
      <c r="F22" s="594"/>
      <c r="G22" s="594"/>
      <c r="H22" s="594"/>
      <c r="I22" s="594"/>
      <c r="J22" s="594"/>
      <c r="K22" s="594"/>
      <c r="L22" s="594"/>
      <c r="M22" s="594"/>
      <c r="N22" s="594"/>
      <c r="O22" s="594"/>
      <c r="P22" s="594"/>
      <c r="Q22" s="594"/>
      <c r="R22" s="594"/>
      <c r="S22" s="594"/>
      <c r="T22" s="594"/>
      <c r="U22" s="594"/>
      <c r="V22" s="594"/>
    </row>
    <row r="23" spans="1:22" ht="12.75">
      <c r="A23" s="595"/>
      <c r="B23" s="591"/>
      <c r="C23" s="596"/>
      <c r="D23" s="593"/>
      <c r="E23" s="594"/>
      <c r="F23" s="594"/>
      <c r="G23" s="594"/>
      <c r="H23" s="594"/>
      <c r="I23" s="594"/>
      <c r="J23" s="594"/>
      <c r="K23" s="594"/>
      <c r="L23" s="594"/>
      <c r="M23" s="594"/>
      <c r="N23" s="594"/>
      <c r="O23" s="594"/>
      <c r="P23" s="594"/>
      <c r="Q23" s="594"/>
      <c r="R23" s="594"/>
      <c r="S23" s="594"/>
      <c r="T23" s="594"/>
      <c r="U23" s="594"/>
      <c r="V23" s="594"/>
    </row>
    <row r="24" spans="1:22" ht="12.75">
      <c r="A24" s="595"/>
      <c r="B24" s="591">
        <v>41000</v>
      </c>
      <c r="C24" s="596" t="s">
        <v>448</v>
      </c>
      <c r="D24" s="593"/>
      <c r="E24" s="594">
        <f>+[4]Admin!E7+[4]BOO!E7+[4]NA!E7+[4]Engineering!E7+[4]Marketing!E7+'[4]NA Sales'!E7</f>
        <v>13316</v>
      </c>
      <c r="F24" s="594">
        <f>+[4]Admin!F7+[4]BOO!F7+[4]NA!F7+[4]Engineering!F7+[4]Marketing!F7+'[4]NA Sales'!F7</f>
        <v>15646</v>
      </c>
      <c r="G24" s="594">
        <f>+[4]Admin!G7+[4]BOO!G7+[4]NA!G7+[4]Engineering!G7+[4]Marketing!G7+'[4]NA Sales'!G7</f>
        <v>17976</v>
      </c>
      <c r="H24" s="594">
        <f>+[4]Admin!H7+[4]BOO!H7+[4]NA!H7+[4]Engineering!H7+[4]Marketing!H7+'[4]NA Sales'!H7</f>
        <v>17976</v>
      </c>
      <c r="I24" s="594">
        <f>+[4]Admin!I7+[4]BOO!I7+[4]NA!I7+[4]Engineering!I7+[4]Marketing!I7+'[4]NA Sales'!I7</f>
        <v>13106</v>
      </c>
      <c r="J24" s="594">
        <f>+[4]Admin!J7+[4]BOO!J7+[4]NA!J7+[4]Engineering!J7+[4]Marketing!J7+'[4]NA Sales'!J7</f>
        <v>11676</v>
      </c>
      <c r="K24" s="594">
        <f>+[4]Admin!K7+[4]BOO!K7+[4]NA!K7+[4]Engineering!K7+[4]Marketing!K7+'[4]NA Sales'!K7</f>
        <v>11676</v>
      </c>
      <c r="L24" s="594">
        <f>+[4]Admin!L7+[4]BOO!L7+[4]NA!L7+[4]Engineering!L7+[4]Marketing!L7+'[4]NA Sales'!L7</f>
        <v>14536</v>
      </c>
      <c r="M24" s="594">
        <f>+[4]Admin!M7+[4]BOO!M7+[4]NA!M7+[4]Engineering!M7+[4]Marketing!M7+'[4]NA Sales'!M7</f>
        <v>17396</v>
      </c>
      <c r="N24" s="594">
        <f>+[4]Admin!N7+[4]BOO!N7+[4]NA!N7+[4]Engineering!N7+[4]Marketing!N7+'[4]NA Sales'!N7</f>
        <v>15966</v>
      </c>
      <c r="O24" s="594">
        <f>+[4]Admin!O7+[4]BOO!O7+[4]NA!O7+[4]Engineering!O7+[4]Marketing!O7+'[4]NA Sales'!O7</f>
        <v>17396</v>
      </c>
      <c r="P24" s="594">
        <f>+[4]Admin!P7+[4]BOO!P7+[4]NA!P7+[4]Engineering!P7+[4]Marketing!P7+'[4]NA Sales'!P7</f>
        <v>18826</v>
      </c>
      <c r="Q24" s="594">
        <f t="shared" si="20"/>
        <v>185492</v>
      </c>
      <c r="R24" s="594"/>
      <c r="S24" s="594">
        <f t="shared" si="21"/>
        <v>46938</v>
      </c>
      <c r="T24" s="594">
        <f t="shared" si="22"/>
        <v>42758</v>
      </c>
      <c r="U24" s="594">
        <f t="shared" si="23"/>
        <v>43608</v>
      </c>
      <c r="V24" s="594">
        <f t="shared" si="24"/>
        <v>52188</v>
      </c>
    </row>
    <row r="25" spans="1:22" ht="12.75">
      <c r="A25" s="595"/>
      <c r="B25" s="591">
        <v>41100</v>
      </c>
      <c r="C25" s="596" t="s">
        <v>449</v>
      </c>
      <c r="D25" s="593">
        <f>+'[5]R&amp;D May Comparison'!B10</f>
        <v>1731.4166666666667</v>
      </c>
      <c r="E25" s="594">
        <f>+[4]Admin!E8+[4]BOO!E8+[4]NA!E8+[4]Engineering!E8+[4]Marketing!E8+'[4]NA Sales'!E8</f>
        <v>0</v>
      </c>
      <c r="F25" s="594">
        <f>+[4]Admin!F8+[4]BOO!F8+[4]NA!F8+[4]Engineering!F8+[4]Marketing!F8+'[4]NA Sales'!F8</f>
        <v>0</v>
      </c>
      <c r="G25" s="594">
        <f>+[4]Admin!G8+[4]BOO!G8+[4]NA!G8+[4]Engineering!G8+[4]Marketing!G8+'[4]NA Sales'!G8</f>
        <v>0</v>
      </c>
      <c r="H25" s="594">
        <f>+[4]Admin!H8+[4]BOO!H8+[4]NA!H8+[4]Engineering!H8+[4]Marketing!H8+'[4]NA Sales'!H8</f>
        <v>0</v>
      </c>
      <c r="I25" s="594">
        <f>+[4]Admin!I8+[4]BOO!I8+[4]NA!I8+[4]Engineering!I8+[4]Marketing!I8+'[4]NA Sales'!I8</f>
        <v>0</v>
      </c>
      <c r="J25" s="594">
        <f>+[4]Admin!J8+[4]BOO!J8+[4]NA!J8+[4]Engineering!J8+[4]Marketing!J8+'[4]NA Sales'!J8</f>
        <v>0</v>
      </c>
      <c r="K25" s="594">
        <f>+[4]Admin!K8+[4]BOO!K8+[4]NA!K8+[4]Engineering!K8+[4]Marketing!K8+'[4]NA Sales'!K8</f>
        <v>0</v>
      </c>
      <c r="L25" s="594">
        <f>+[4]Admin!L8+[4]BOO!L8+[4]NA!L8+[4]Engineering!L8+[4]Marketing!L8+'[4]NA Sales'!L8</f>
        <v>0</v>
      </c>
      <c r="M25" s="594">
        <f>+[4]Admin!M8+[4]BOO!M8+[4]NA!M8+[4]Engineering!M8+[4]Marketing!M8+'[4]NA Sales'!M8</f>
        <v>0</v>
      </c>
      <c r="N25" s="594">
        <f>+[4]Admin!N8+[4]BOO!N8+[4]NA!N8+[4]Engineering!N8+[4]Marketing!N8+'[4]NA Sales'!N8</f>
        <v>0</v>
      </c>
      <c r="O25" s="594">
        <f>+[4]Admin!O8+[4]BOO!O8+[4]NA!O8+[4]Engineering!O8+[4]Marketing!O8+'[4]NA Sales'!O8</f>
        <v>0</v>
      </c>
      <c r="P25" s="594">
        <f>+[4]Admin!P8+[4]BOO!P8+[4]NA!P8+[4]Engineering!P8+[4]Marketing!P8+'[4]NA Sales'!P8</f>
        <v>0</v>
      </c>
      <c r="Q25" s="594">
        <f t="shared" si="20"/>
        <v>0</v>
      </c>
      <c r="R25" s="594"/>
      <c r="S25" s="594">
        <f t="shared" si="21"/>
        <v>0</v>
      </c>
      <c r="T25" s="594">
        <f t="shared" si="22"/>
        <v>0</v>
      </c>
      <c r="U25" s="594">
        <f t="shared" si="23"/>
        <v>0</v>
      </c>
      <c r="V25" s="594">
        <f t="shared" si="24"/>
        <v>0</v>
      </c>
    </row>
    <row r="26" spans="1:22" ht="12.75">
      <c r="A26" s="595"/>
      <c r="B26" s="591">
        <v>41800</v>
      </c>
      <c r="C26" s="596" t="s">
        <v>450</v>
      </c>
      <c r="D26" s="593">
        <f>+'[5]R&amp;D May Comparison'!B11</f>
        <v>-36.416666666666664</v>
      </c>
      <c r="E26" s="594">
        <f>+[4]Admin!E9+[4]BOO!E9+[4]NA!E9+[4]Engineering!E9+[4]Marketing!E9+'[4]NA Sales'!E9</f>
        <v>2677</v>
      </c>
      <c r="F26" s="594">
        <f>+[4]Admin!F9+[4]BOO!F9+[4]NA!F9+[4]Engineering!F9+[4]Marketing!F9+'[4]NA Sales'!F9</f>
        <v>2677</v>
      </c>
      <c r="G26" s="594">
        <f>+[4]Admin!G9+[4]BOO!G9+[4]NA!G9+[4]Engineering!G9+[4]Marketing!G9+'[4]NA Sales'!G9</f>
        <v>2677</v>
      </c>
      <c r="H26" s="594">
        <f>+[4]Admin!H9+[4]BOO!H9+[4]NA!H9+[4]Engineering!H9+[4]Marketing!H9+'[4]NA Sales'!H9</f>
        <v>2677</v>
      </c>
      <c r="I26" s="594">
        <f>+[4]Admin!I9+[4]BOO!I9+[4]NA!I9+[4]Engineering!I9+[4]Marketing!I9+'[4]NA Sales'!I9</f>
        <v>2677</v>
      </c>
      <c r="J26" s="594">
        <f>+[4]Admin!J9+[4]BOO!J9+[4]NA!J9+[4]Engineering!J9+[4]Marketing!J9+'[4]NA Sales'!J9</f>
        <v>2677</v>
      </c>
      <c r="K26" s="594">
        <f>+[4]Admin!K9+[4]BOO!K9+[4]NA!K9+[4]Engineering!K9+[4]Marketing!K9+'[4]NA Sales'!K9</f>
        <v>2677</v>
      </c>
      <c r="L26" s="594">
        <f>+[4]Admin!L9+[4]BOO!L9+[4]NA!L9+[4]Engineering!L9+[4]Marketing!L9+'[4]NA Sales'!L9</f>
        <v>2677</v>
      </c>
      <c r="M26" s="594">
        <f>+[4]Admin!M9+[4]BOO!M9+[4]NA!M9+[4]Engineering!M9+[4]Marketing!M9+'[4]NA Sales'!M9</f>
        <v>2677</v>
      </c>
      <c r="N26" s="594">
        <f>+[4]Admin!N9+[4]BOO!N9+[4]NA!N9+[4]Engineering!N9+[4]Marketing!N9+'[4]NA Sales'!N9</f>
        <v>2677</v>
      </c>
      <c r="O26" s="594">
        <f>+[4]Admin!O9+[4]BOO!O9+[4]NA!O9+[4]Engineering!O9+[4]Marketing!O9+'[4]NA Sales'!O9</f>
        <v>2677</v>
      </c>
      <c r="P26" s="594">
        <f>+[4]Admin!P9+[4]BOO!P9+[4]NA!P9+[4]Engineering!P9+[4]Marketing!P9+'[4]NA Sales'!P9</f>
        <v>2677</v>
      </c>
      <c r="Q26" s="594">
        <f t="shared" si="20"/>
        <v>32124</v>
      </c>
      <c r="R26" s="594"/>
      <c r="S26" s="594">
        <f t="shared" si="21"/>
        <v>8031</v>
      </c>
      <c r="T26" s="594">
        <f t="shared" si="22"/>
        <v>8031</v>
      </c>
      <c r="U26" s="594">
        <f t="shared" si="23"/>
        <v>8031</v>
      </c>
      <c r="V26" s="594">
        <f t="shared" si="24"/>
        <v>8031</v>
      </c>
    </row>
    <row r="27" spans="1:22" ht="12.75">
      <c r="A27" s="595"/>
      <c r="B27" s="591">
        <v>44000</v>
      </c>
      <c r="C27" s="596" t="s">
        <v>451</v>
      </c>
      <c r="D27" s="593">
        <v>0</v>
      </c>
      <c r="E27" s="594">
        <f>+[4]Admin!E10+[4]BOO!E10+[4]NA!E10+[4]Engineering!E10+[4]Marketing!E10+'[4]NA Sales'!E10</f>
        <v>0</v>
      </c>
      <c r="F27" s="594">
        <f>+[4]Admin!F10+[4]BOO!F10+[4]NA!F10+[4]Engineering!F10+[4]Marketing!F10+'[4]NA Sales'!F10</f>
        <v>0</v>
      </c>
      <c r="G27" s="594">
        <f>+[4]Admin!G10+[4]BOO!G10+[4]NA!G10+[4]Engineering!G10+[4]Marketing!G10+'[4]NA Sales'!G10</f>
        <v>0</v>
      </c>
      <c r="H27" s="594">
        <f>+[4]Admin!H10+[4]BOO!H10+[4]NA!H10+[4]Engineering!H10+[4]Marketing!H10+'[4]NA Sales'!H10</f>
        <v>0</v>
      </c>
      <c r="I27" s="594">
        <f>+[4]Admin!I10+[4]BOO!I10+[4]NA!I10+[4]Engineering!I10+[4]Marketing!I10+'[4]NA Sales'!I10</f>
        <v>0</v>
      </c>
      <c r="J27" s="594">
        <f>+[4]Admin!J10+[4]BOO!J10+[4]NA!J10+[4]Engineering!J10+[4]Marketing!J10+'[4]NA Sales'!J10</f>
        <v>0</v>
      </c>
      <c r="K27" s="594">
        <f>+[4]Admin!K10+[4]BOO!K10+[4]NA!K10+[4]Engineering!K10+[4]Marketing!K10+'[4]NA Sales'!K10</f>
        <v>0</v>
      </c>
      <c r="L27" s="594">
        <f>+[4]Admin!L10+[4]BOO!L10+[4]NA!L10+[4]Engineering!L10+[4]Marketing!L10+'[4]NA Sales'!L10</f>
        <v>0</v>
      </c>
      <c r="M27" s="594">
        <f>+[4]Admin!M10+[4]BOO!M10+[4]NA!M10+[4]Engineering!M10+[4]Marketing!M10+'[4]NA Sales'!M10</f>
        <v>0</v>
      </c>
      <c r="N27" s="594">
        <f>+[4]Admin!N10+[4]BOO!N10+[4]NA!N10+[4]Engineering!N10+[4]Marketing!N10+'[4]NA Sales'!N10</f>
        <v>0</v>
      </c>
      <c r="O27" s="594">
        <f>+[4]Admin!O10+[4]BOO!O10+[4]NA!O10+[4]Engineering!O10+[4]Marketing!O10+'[4]NA Sales'!O10</f>
        <v>0</v>
      </c>
      <c r="P27" s="594">
        <f>+[4]Admin!P10+[4]BOO!P10+[4]NA!P10+[4]Engineering!P10+[4]Marketing!P10+'[4]NA Sales'!P10</f>
        <v>0</v>
      </c>
      <c r="Q27" s="594">
        <f t="shared" si="20"/>
        <v>0</v>
      </c>
      <c r="R27" s="594"/>
      <c r="S27" s="594">
        <f t="shared" si="21"/>
        <v>0</v>
      </c>
      <c r="T27" s="594">
        <f t="shared" si="22"/>
        <v>0</v>
      </c>
      <c r="U27" s="594">
        <f t="shared" si="23"/>
        <v>0</v>
      </c>
      <c r="V27" s="594">
        <f t="shared" si="24"/>
        <v>0</v>
      </c>
    </row>
    <row r="28" spans="1:22" ht="12.75">
      <c r="A28" s="595"/>
      <c r="B28" s="591">
        <v>42800</v>
      </c>
      <c r="C28" s="596" t="s">
        <v>452</v>
      </c>
      <c r="D28" s="593">
        <v>0</v>
      </c>
      <c r="E28" s="594">
        <f>+[4]Admin!E11+[4]BOO!E11+[4]NA!E11+[4]Engineering!E11+[4]Marketing!E11+'[4]NA Sales'!E11</f>
        <v>0</v>
      </c>
      <c r="F28" s="594">
        <f>+[4]Admin!F11+[4]BOO!F11+[4]NA!F11+[4]Engineering!F11+[4]Marketing!F11+'[4]NA Sales'!F11</f>
        <v>0</v>
      </c>
      <c r="G28" s="594">
        <f>+[4]Admin!G11+[4]BOO!G11+[4]NA!G11+[4]Engineering!G11+[4]Marketing!G11+'[4]NA Sales'!G11</f>
        <v>0</v>
      </c>
      <c r="H28" s="594">
        <f>+[4]Admin!H11+[4]BOO!H11+[4]NA!H11+[4]Engineering!H11+[4]Marketing!H11+'[4]NA Sales'!H11</f>
        <v>0</v>
      </c>
      <c r="I28" s="594">
        <f>+[4]Admin!I11+[4]BOO!I11+[4]NA!I11+[4]Engineering!I11+[4]Marketing!I11+'[4]NA Sales'!I11</f>
        <v>0</v>
      </c>
      <c r="J28" s="594">
        <f>+[4]Admin!J11+[4]BOO!J11+[4]NA!J11+[4]Engineering!J11+[4]Marketing!J11+'[4]NA Sales'!J11</f>
        <v>13541.710000000001</v>
      </c>
      <c r="K28" s="594">
        <f>+[4]Admin!K11+[4]BOO!K11+[4]NA!K11+[4]Engineering!K11+[4]Marketing!K11+'[4]NA Sales'!K11</f>
        <v>0</v>
      </c>
      <c r="L28" s="594">
        <f>+[4]Admin!L11+[4]BOO!L11+[4]NA!L11+[4]Engineering!L11+[4]Marketing!L11+'[4]NA Sales'!L11</f>
        <v>0</v>
      </c>
      <c r="M28" s="594">
        <f>+[4]Admin!M11+[4]BOO!M11+[4]NA!M11+[4]Engineering!M11+[4]Marketing!M11+'[4]NA Sales'!M11</f>
        <v>0</v>
      </c>
      <c r="N28" s="594">
        <f>+[4]Admin!N11+[4]BOO!N11+[4]NA!N11+[4]Engineering!N11+[4]Marketing!N11+'[4]NA Sales'!N11</f>
        <v>0</v>
      </c>
      <c r="O28" s="594">
        <f>+[4]Admin!O11+[4]BOO!O11+[4]NA!O11+[4]Engineering!O11+[4]Marketing!O11+'[4]NA Sales'!O11</f>
        <v>0</v>
      </c>
      <c r="P28" s="594">
        <f>+[4]Admin!P11+[4]BOO!P11+[4]NA!P11+[4]Engineering!P11+[4]Marketing!P11+'[4]NA Sales'!P11</f>
        <v>0</v>
      </c>
      <c r="Q28" s="594">
        <f t="shared" si="20"/>
        <v>13541.710000000001</v>
      </c>
      <c r="R28" s="594"/>
      <c r="S28" s="594">
        <f t="shared" si="21"/>
        <v>0</v>
      </c>
      <c r="T28" s="594">
        <f t="shared" si="22"/>
        <v>13541.710000000001</v>
      </c>
      <c r="U28" s="594">
        <f t="shared" si="23"/>
        <v>0</v>
      </c>
      <c r="V28" s="594">
        <f t="shared" si="24"/>
        <v>0</v>
      </c>
    </row>
    <row r="29" spans="1:22" ht="12.75">
      <c r="A29" s="595"/>
      <c r="B29" s="591">
        <v>42100</v>
      </c>
      <c r="C29" s="596" t="s">
        <v>453</v>
      </c>
      <c r="D29" s="593">
        <f>+'[5]R&amp;D May Comparison'!B12</f>
        <v>4963.916666666667</v>
      </c>
      <c r="E29" s="594">
        <f>+[4]Admin!E12+[4]BOO!E12+[4]NA!E12+[4]Engineering!E12+[4]Marketing!E12+'[4]NA Sales'!E12</f>
        <v>10868.779999999999</v>
      </c>
      <c r="F29" s="594">
        <f>+[4]Admin!F12+[4]BOO!F12+[4]NA!F12+[4]Engineering!F12+[4]Marketing!F12+'[4]NA Sales'!F12</f>
        <v>10868.779999999999</v>
      </c>
      <c r="G29" s="594">
        <f>+[4]Admin!G12+[4]BOO!G12+[4]NA!G12+[4]Engineering!G12+[4]Marketing!G12+'[4]NA Sales'!G12</f>
        <v>10868.779999999999</v>
      </c>
      <c r="H29" s="594">
        <f>+[4]Admin!H12+[4]BOO!H12+[4]NA!H12+[4]Engineering!H12+[4]Marketing!H12+'[4]NA Sales'!H12</f>
        <v>10868.779999999999</v>
      </c>
      <c r="I29" s="594">
        <f>+[4]Admin!I12+[4]BOO!I12+[4]NA!I12+[4]Engineering!I12+[4]Marketing!I12+'[4]NA Sales'!I12</f>
        <v>10868.779999999999</v>
      </c>
      <c r="J29" s="594">
        <f>+[4]Admin!J12+[4]BOO!J12+[4]NA!J12+[4]Engineering!J12+[4]Marketing!J12+'[4]NA Sales'!J12</f>
        <v>11318.779999999999</v>
      </c>
      <c r="K29" s="594">
        <f>+[4]Admin!K12+[4]BOO!K12+[4]NA!K12+[4]Engineering!K12+[4]Marketing!K12+'[4]NA Sales'!K12</f>
        <v>12375.34</v>
      </c>
      <c r="L29" s="594">
        <f>+[4]Admin!L12+[4]BOO!L12+[4]NA!L12+[4]Engineering!L12+[4]Marketing!L12+'[4]NA Sales'!L12</f>
        <v>12375.34</v>
      </c>
      <c r="M29" s="594">
        <f>+[4]Admin!M12+[4]BOO!M12+[4]NA!M12+[4]Engineering!M12+[4]Marketing!M12+'[4]NA Sales'!M12</f>
        <v>12375.34</v>
      </c>
      <c r="N29" s="594">
        <f>+[4]Admin!N12+[4]BOO!N12+[4]NA!N12+[4]Engineering!N12+[4]Marketing!N12+'[4]NA Sales'!N12</f>
        <v>12375.34</v>
      </c>
      <c r="O29" s="594">
        <f>+[4]Admin!O12+[4]BOO!O12+[4]NA!O12+[4]Engineering!O12+[4]Marketing!O12+'[4]NA Sales'!O12</f>
        <v>12375.34</v>
      </c>
      <c r="P29" s="594">
        <f>+[4]Admin!P12+[4]BOO!P12+[4]NA!P12+[4]Engineering!P12+[4]Marketing!P12+'[4]NA Sales'!P12</f>
        <v>12375.34</v>
      </c>
      <c r="Q29" s="594">
        <f t="shared" si="20"/>
        <v>139914.71999999997</v>
      </c>
      <c r="R29" s="594"/>
      <c r="S29" s="594">
        <f t="shared" si="21"/>
        <v>32606.339999999997</v>
      </c>
      <c r="T29" s="594">
        <f t="shared" si="22"/>
        <v>33056.339999999997</v>
      </c>
      <c r="U29" s="594">
        <f t="shared" si="23"/>
        <v>37126.020000000004</v>
      </c>
      <c r="V29" s="594">
        <f t="shared" si="24"/>
        <v>37126.020000000004</v>
      </c>
    </row>
    <row r="30" spans="1:22" ht="12.75">
      <c r="A30" s="595"/>
      <c r="B30" s="591">
        <v>42700</v>
      </c>
      <c r="C30" s="596" t="s">
        <v>15</v>
      </c>
      <c r="D30" s="593">
        <f>+'[5]R&amp;D May Comparison'!B13</f>
        <v>383</v>
      </c>
      <c r="E30" s="594">
        <f>+[4]Admin!E13+[4]BOO!E13+[4]NA!E13+[4]Engineering!E13+[4]Marketing!E13+'[4]NA Sales'!E13</f>
        <v>640</v>
      </c>
      <c r="F30" s="594">
        <f>+[4]Admin!F13+[4]BOO!F13+[4]NA!F13+[4]Engineering!F13+[4]Marketing!F13+'[4]NA Sales'!F13</f>
        <v>590</v>
      </c>
      <c r="G30" s="594">
        <f>+[4]Admin!G13+[4]BOO!G13+[4]NA!G13+[4]Engineering!G13+[4]Marketing!G13+'[4]NA Sales'!G13</f>
        <v>590</v>
      </c>
      <c r="H30" s="594">
        <f>+[4]Admin!H13+[4]BOO!H13+[4]NA!H13+[4]Engineering!H13+[4]Marketing!H13+'[4]NA Sales'!H13</f>
        <v>590</v>
      </c>
      <c r="I30" s="594">
        <f>+[4]Admin!I13+[4]BOO!I13+[4]NA!I13+[4]Engineering!I13+[4]Marketing!I13+'[4]NA Sales'!I13</f>
        <v>540</v>
      </c>
      <c r="J30" s="594">
        <f>+[4]Admin!J13+[4]BOO!J13+[4]NA!J13+[4]Engineering!J13+[4]Marketing!J13+'[4]NA Sales'!J13</f>
        <v>540</v>
      </c>
      <c r="K30" s="594">
        <f>+[4]Admin!K13+[4]BOO!K13+[4]NA!K13+[4]Engineering!K13+[4]Marketing!K13+'[4]NA Sales'!K13</f>
        <v>540</v>
      </c>
      <c r="L30" s="594">
        <f>+[4]Admin!L13+[4]BOO!L13+[4]NA!L13+[4]Engineering!L13+[4]Marketing!L13+'[4]NA Sales'!L13</f>
        <v>540</v>
      </c>
      <c r="M30" s="594">
        <f>+[4]Admin!M13+[4]BOO!M13+[4]NA!M13+[4]Engineering!M13+[4]Marketing!M13+'[4]NA Sales'!M13</f>
        <v>540</v>
      </c>
      <c r="N30" s="594">
        <f>+[4]Admin!N13+[4]BOO!N13+[4]NA!N13+[4]Engineering!N13+[4]Marketing!N13+'[4]NA Sales'!N13</f>
        <v>540</v>
      </c>
      <c r="O30" s="594">
        <f>+[4]Admin!O13+[4]BOO!O13+[4]NA!O13+[4]Engineering!O13+[4]Marketing!O13+'[4]NA Sales'!O13</f>
        <v>540</v>
      </c>
      <c r="P30" s="594">
        <f>+[4]Admin!P13+[4]BOO!P13+[4]NA!P13+[4]Engineering!P13+[4]Marketing!P13+'[4]NA Sales'!P13</f>
        <v>540</v>
      </c>
      <c r="Q30" s="594">
        <f t="shared" si="20"/>
        <v>6730</v>
      </c>
      <c r="R30" s="594"/>
      <c r="S30" s="594">
        <f t="shared" si="21"/>
        <v>1820</v>
      </c>
      <c r="T30" s="594">
        <f t="shared" si="22"/>
        <v>1670</v>
      </c>
      <c r="U30" s="594">
        <f t="shared" si="23"/>
        <v>1620</v>
      </c>
      <c r="V30" s="594">
        <f t="shared" si="24"/>
        <v>1620</v>
      </c>
    </row>
    <row r="31" spans="1:22" s="602" customFormat="1" ht="12.75">
      <c r="A31" s="597"/>
      <c r="B31" s="598">
        <v>43500</v>
      </c>
      <c r="C31" s="599" t="s">
        <v>454</v>
      </c>
      <c r="D31" s="600">
        <f>+'[5]R&amp;D May Comparison'!B14</f>
        <v>5945.166666666667</v>
      </c>
      <c r="E31" s="601">
        <f>+[4]Admin!E14+[4]BOO!E14+[4]NA!E14+[4]Engineering!E14+[4]Marketing!E14+'[4]NA Sales'!E14</f>
        <v>12188.139615384616</v>
      </c>
      <c r="F31" s="601">
        <f>+[4]Admin!F14+[4]BOO!F14+[4]NA!F14+[4]Engineering!F14+[4]Marketing!F14+'[4]NA Sales'!F14</f>
        <v>11149.539615384616</v>
      </c>
      <c r="G31" s="601">
        <f>+[4]Admin!G14+[4]BOO!G14+[4]NA!G14+[4]Engineering!G14+[4]Marketing!G14+'[4]NA Sales'!G14</f>
        <v>11335.939615384616</v>
      </c>
      <c r="H31" s="601">
        <f>+[4]Admin!H14+[4]BOO!H14+[4]NA!H14+[4]Engineering!H14+[4]Marketing!H14+'[4]NA Sales'!H14</f>
        <v>11335.939615384616</v>
      </c>
      <c r="I31" s="601">
        <f>+[4]Admin!I14+[4]BOO!I14+[4]NA!I14+[4]Engineering!I14+[4]Marketing!I14+'[4]NA Sales'!I14</f>
        <v>10213.006282051283</v>
      </c>
      <c r="J31" s="601">
        <f>+[4]Admin!J14+[4]BOO!J14+[4]NA!J14+[4]Engineering!J14+[4]Marketing!J14+'[4]NA Sales'!J14</f>
        <v>11171.134282051284</v>
      </c>
      <c r="K31" s="601">
        <f>+[4]Admin!K14+[4]BOO!K14+[4]NA!K14+[4]Engineering!K14+[4]Marketing!K14+'[4]NA Sales'!K14</f>
        <v>11439.793282051283</v>
      </c>
      <c r="L31" s="601">
        <f>+[4]Admin!L14+[4]BOO!L14+[4]NA!L14+[4]Engineering!L14+[4]Marketing!L14+'[4]NA Sales'!L14</f>
        <v>11668.593282051283</v>
      </c>
      <c r="M31" s="601">
        <f>+[4]Admin!M14+[4]BOO!M14+[4]NA!M14+[4]Engineering!M14+[4]Marketing!M14+'[4]NA Sales'!M14</f>
        <v>11897.393282051284</v>
      </c>
      <c r="N31" s="601">
        <f>+[4]Admin!N14+[4]BOO!N14+[4]NA!N14+[4]Engineering!N14+[4]Marketing!N14+'[4]NA Sales'!N14</f>
        <v>11782.993282051284</v>
      </c>
      <c r="O31" s="601">
        <f>+[4]Admin!O14+[4]BOO!O14+[4]NA!O14+[4]Engineering!O14+[4]Marketing!O14+'[4]NA Sales'!O14</f>
        <v>11722.393282051284</v>
      </c>
      <c r="P31" s="601">
        <f>+[4]Admin!P14+[4]BOO!P14+[4]NA!P14+[4]Engineering!P14+[4]Marketing!P14+'[4]NA Sales'!P14</f>
        <v>10961.793282051283</v>
      </c>
      <c r="Q31" s="601">
        <f t="shared" si="20"/>
        <v>136866.65871794874</v>
      </c>
      <c r="R31" s="601"/>
      <c r="S31" s="601">
        <f t="shared" si="21"/>
        <v>34673.618846153848</v>
      </c>
      <c r="T31" s="601">
        <f t="shared" si="22"/>
        <v>32720.080179487184</v>
      </c>
      <c r="U31" s="601">
        <f t="shared" si="23"/>
        <v>35005.779846153848</v>
      </c>
      <c r="V31" s="601">
        <f t="shared" si="24"/>
        <v>34467.179846153856</v>
      </c>
    </row>
    <row r="32" spans="1:22" s="602" customFormat="1">
      <c r="A32" s="603"/>
      <c r="B32" s="604"/>
      <c r="C32" s="603"/>
      <c r="D32" s="605">
        <f t="shared" ref="D32:Q32" si="25">SUM(D21:D31)</f>
        <v>88958.000000000015</v>
      </c>
      <c r="E32" s="605">
        <f t="shared" si="25"/>
        <v>201019.34269230769</v>
      </c>
      <c r="F32" s="605">
        <f t="shared" si="25"/>
        <v>184760.74269230769</v>
      </c>
      <c r="G32" s="605">
        <f t="shared" si="25"/>
        <v>187277.14269230768</v>
      </c>
      <c r="H32" s="605">
        <f t="shared" si="25"/>
        <v>187277.14269230768</v>
      </c>
      <c r="I32" s="605">
        <f t="shared" si="25"/>
        <v>172067.54269230767</v>
      </c>
      <c r="J32" s="605">
        <f t="shared" si="25"/>
        <v>185868.9806923077</v>
      </c>
      <c r="K32" s="605">
        <f t="shared" si="25"/>
        <v>177256.1896923077</v>
      </c>
      <c r="L32" s="605">
        <f t="shared" si="25"/>
        <v>180344.98969230772</v>
      </c>
      <c r="M32" s="605">
        <f t="shared" si="25"/>
        <v>183433.78969230771</v>
      </c>
      <c r="N32" s="605">
        <f t="shared" si="25"/>
        <v>181889.38969230771</v>
      </c>
      <c r="O32" s="605">
        <f t="shared" si="25"/>
        <v>183258.78969230771</v>
      </c>
      <c r="P32" s="605">
        <f t="shared" si="25"/>
        <v>183928.1896923077</v>
      </c>
      <c r="Q32" s="605">
        <f t="shared" si="25"/>
        <v>2208382.2323076921</v>
      </c>
      <c r="R32" s="605"/>
      <c r="S32" s="605">
        <f>SUM(S21:S31)</f>
        <v>573057.22807692306</v>
      </c>
      <c r="T32" s="605">
        <f>SUM(T21:T31)</f>
        <v>545213.66607692314</v>
      </c>
      <c r="U32" s="605">
        <f>SUM(U21:U31)</f>
        <v>541034.96907692309</v>
      </c>
      <c r="V32" s="605">
        <f>SUM(V21:V31)</f>
        <v>549076.36907692312</v>
      </c>
    </row>
    <row r="33" spans="1:22">
      <c r="A33" s="603"/>
      <c r="B33" s="604"/>
      <c r="C33" s="603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S33" s="605"/>
      <c r="T33" s="605"/>
      <c r="U33" s="605"/>
      <c r="V33" s="605"/>
    </row>
    <row r="34" spans="1:22" ht="12.75">
      <c r="A34" s="595"/>
      <c r="B34" s="591">
        <v>46100</v>
      </c>
      <c r="C34" s="596" t="s">
        <v>455</v>
      </c>
      <c r="D34" s="593"/>
      <c r="E34" s="594">
        <f>+[4]Admin!E16+[4]BOO!E16+[4]NA!E16+[4]Engineering!E16+[4]Marketing!E16+'[4]NA Sales'!E16</f>
        <v>13736.66</v>
      </c>
      <c r="F34" s="594">
        <f>+[4]Admin!F16+[4]BOO!F16+[4]NA!F16+[4]Engineering!F16+[4]Marketing!F16+'[4]NA Sales'!F16</f>
        <v>13736.66</v>
      </c>
      <c r="G34" s="594">
        <f>+[4]Admin!G16+[4]BOO!G16+[4]NA!G16+[4]Engineering!G16+[4]Marketing!G16+'[4]NA Sales'!G16</f>
        <v>14486.66</v>
      </c>
      <c r="H34" s="594">
        <f>+[4]Admin!H16+[4]BOO!H16+[4]NA!H16+[4]Engineering!H16+[4]Marketing!H16+'[4]NA Sales'!H16</f>
        <v>13686.66</v>
      </c>
      <c r="I34" s="594">
        <f>+[4]Admin!I16+[4]BOO!I16+[4]NA!I16+[4]Engineering!I16+[4]Marketing!I16+'[4]NA Sales'!I16</f>
        <v>13686.66</v>
      </c>
      <c r="J34" s="594">
        <f>+[4]Admin!J16+[4]BOO!J16+[4]NA!J16+[4]Engineering!J16+[4]Marketing!J16+'[4]NA Sales'!J16</f>
        <v>13686.66</v>
      </c>
      <c r="K34" s="594">
        <f>+[4]Admin!K16+[4]BOO!K16+[4]NA!K16+[4]Engineering!K16+[4]Marketing!K16+'[4]NA Sales'!K16</f>
        <v>13736.66</v>
      </c>
      <c r="L34" s="594">
        <f>+[4]Admin!L16+[4]BOO!L16+[4]NA!L16+[4]Engineering!L16+[4]Marketing!L16+'[4]NA Sales'!L16</f>
        <v>13736.66</v>
      </c>
      <c r="M34" s="594">
        <f>+[4]Admin!M16+[4]BOO!M16+[4]NA!M16+[4]Engineering!M16+[4]Marketing!M16+'[4]NA Sales'!M16</f>
        <v>13736.66</v>
      </c>
      <c r="N34" s="594">
        <f>+[4]Admin!N16+[4]BOO!N16+[4]NA!N16+[4]Engineering!N16+[4]Marketing!N16+'[4]NA Sales'!N16</f>
        <v>13736.66</v>
      </c>
      <c r="O34" s="594">
        <f>+[4]Admin!O16+[4]BOO!O16+[4]NA!O16+[4]Engineering!O16+[4]Marketing!O16+'[4]NA Sales'!O16</f>
        <v>13736.66</v>
      </c>
      <c r="P34" s="594">
        <f>+[4]Admin!P16+[4]BOO!P16+[4]NA!P16+[4]Engineering!P16+[4]Marketing!P16+'[4]NA Sales'!P16</f>
        <v>13736.66</v>
      </c>
      <c r="Q34" s="594">
        <f t="shared" ref="Q34:Q39" si="26">SUM(E34:P34)</f>
        <v>165439.92000000001</v>
      </c>
      <c r="R34" s="594"/>
      <c r="S34" s="594">
        <f t="shared" ref="S34:S39" si="27">SUM(E34:G34)</f>
        <v>41959.979999999996</v>
      </c>
      <c r="T34" s="594">
        <f t="shared" ref="T34:T39" si="28">SUM(H34:J34)</f>
        <v>41059.979999999996</v>
      </c>
      <c r="U34" s="594">
        <f t="shared" ref="U34:U39" si="29">SUM(K34:M34)</f>
        <v>41209.979999999996</v>
      </c>
      <c r="V34" s="594">
        <f t="shared" ref="V34:V39" si="30">SUM(N34:P34)</f>
        <v>41209.979999999996</v>
      </c>
    </row>
    <row r="35" spans="1:22" ht="12.75">
      <c r="A35" s="595"/>
      <c r="B35" s="591">
        <v>46200</v>
      </c>
      <c r="C35" s="596" t="s">
        <v>456</v>
      </c>
      <c r="D35" s="593"/>
      <c r="E35" s="594">
        <f>+[4]Admin!E17+[4]BOO!E17+[4]NA!E17+[4]Engineering!E17+[4]Marketing!E17+'[4]NA Sales'!E17</f>
        <v>0</v>
      </c>
      <c r="F35" s="594">
        <f>+[4]Admin!F17+[4]BOO!F17+[4]NA!F17+[4]Engineering!F17+[4]Marketing!F17+'[4]NA Sales'!F17</f>
        <v>0</v>
      </c>
      <c r="G35" s="594">
        <f>+[4]Admin!G17+[4]BOO!G17+[4]NA!G17+[4]Engineering!G17+[4]Marketing!G17+'[4]NA Sales'!G17</f>
        <v>0</v>
      </c>
      <c r="H35" s="594">
        <f>+[4]Admin!H17+[4]BOO!H17+[4]NA!H17+[4]Engineering!H17+[4]Marketing!H17+'[4]NA Sales'!H17</f>
        <v>0</v>
      </c>
      <c r="I35" s="594">
        <f>+[4]Admin!I17+[4]BOO!I17+[4]NA!I17+[4]Engineering!I17+[4]Marketing!I17+'[4]NA Sales'!I17</f>
        <v>0</v>
      </c>
      <c r="J35" s="594">
        <f>+[4]Admin!J17+[4]BOO!J17+[4]NA!J17+[4]Engineering!J17+[4]Marketing!J17+'[4]NA Sales'!J17</f>
        <v>0</v>
      </c>
      <c r="K35" s="594">
        <f>+[4]Admin!K17+[4]BOO!K17+[4]NA!K17+[4]Engineering!K17+[4]Marketing!K17+'[4]NA Sales'!K17</f>
        <v>0</v>
      </c>
      <c r="L35" s="594">
        <f>+[4]Admin!L17+[4]BOO!L17+[4]NA!L17+[4]Engineering!L17+[4]Marketing!L17+'[4]NA Sales'!L17</f>
        <v>0</v>
      </c>
      <c r="M35" s="594">
        <f>+[4]Admin!M17+[4]BOO!M17+[4]NA!M17+[4]Engineering!M17+[4]Marketing!M17+'[4]NA Sales'!M17</f>
        <v>0</v>
      </c>
      <c r="N35" s="594">
        <f>+[4]Admin!N17+[4]BOO!N17+[4]NA!N17+[4]Engineering!N17+[4]Marketing!N17+'[4]NA Sales'!N17</f>
        <v>0</v>
      </c>
      <c r="O35" s="594">
        <f>+[4]Admin!O17+[4]BOO!O17+[4]NA!O17+[4]Engineering!O17+[4]Marketing!O17+'[4]NA Sales'!O17</f>
        <v>0</v>
      </c>
      <c r="P35" s="594">
        <f>+[4]Admin!P17+[4]BOO!P17+[4]NA!P17+[4]Engineering!P17+[4]Marketing!P17+'[4]NA Sales'!P17</f>
        <v>0</v>
      </c>
      <c r="Q35" s="594">
        <f t="shared" si="26"/>
        <v>0</v>
      </c>
      <c r="R35" s="594"/>
      <c r="S35" s="594">
        <f t="shared" si="27"/>
        <v>0</v>
      </c>
      <c r="T35" s="594">
        <f t="shared" si="28"/>
        <v>0</v>
      </c>
      <c r="U35" s="594">
        <f t="shared" si="29"/>
        <v>0</v>
      </c>
      <c r="V35" s="594">
        <f t="shared" si="30"/>
        <v>0</v>
      </c>
    </row>
    <row r="36" spans="1:22" ht="12.75">
      <c r="A36" s="595"/>
      <c r="B36" s="591">
        <v>46300</v>
      </c>
      <c r="C36" s="596" t="s">
        <v>457</v>
      </c>
      <c r="D36" s="593"/>
      <c r="E36" s="594">
        <f>+[4]Admin!E18+[4]BOO!E18+[4]NA!E18+[4]Engineering!E18+[4]Marketing!E18+'[4]NA Sales'!E18</f>
        <v>0</v>
      </c>
      <c r="F36" s="594">
        <f>+[4]Admin!F18+[4]BOO!F18+[4]NA!F18+[4]Engineering!F18+[4]Marketing!F18+'[4]NA Sales'!F18</f>
        <v>0</v>
      </c>
      <c r="G36" s="594">
        <f>+[4]Admin!G18+[4]BOO!G18+[4]NA!G18+[4]Engineering!G18+[4]Marketing!G18+'[4]NA Sales'!G18</f>
        <v>0</v>
      </c>
      <c r="H36" s="594">
        <f>+[4]Admin!H18+[4]BOO!H18+[4]NA!H18+[4]Engineering!H18+[4]Marketing!H18+'[4]NA Sales'!H18</f>
        <v>0</v>
      </c>
      <c r="I36" s="594">
        <f>+[4]Admin!I18+[4]BOO!I18+[4]NA!I18+[4]Engineering!I18+[4]Marketing!I18+'[4]NA Sales'!I18</f>
        <v>0</v>
      </c>
      <c r="J36" s="594">
        <f>+[4]Admin!J18+[4]BOO!J18+[4]NA!J18+[4]Engineering!J18+[4]Marketing!J18+'[4]NA Sales'!J18</f>
        <v>0</v>
      </c>
      <c r="K36" s="594">
        <f>+[4]Admin!K18+[4]BOO!K18+[4]NA!K18+[4]Engineering!K18+[4]Marketing!K18+'[4]NA Sales'!K18</f>
        <v>0</v>
      </c>
      <c r="L36" s="594">
        <f>+[4]Admin!L18+[4]BOO!L18+[4]NA!L18+[4]Engineering!L18+[4]Marketing!L18+'[4]NA Sales'!L18</f>
        <v>0</v>
      </c>
      <c r="M36" s="594">
        <f>+[4]Admin!M18+[4]BOO!M18+[4]NA!M18+[4]Engineering!M18+[4]Marketing!M18+'[4]NA Sales'!M18</f>
        <v>0</v>
      </c>
      <c r="N36" s="594">
        <f>+[4]Admin!N18+[4]BOO!N18+[4]NA!N18+[4]Engineering!N18+[4]Marketing!N18+'[4]NA Sales'!N18</f>
        <v>5000</v>
      </c>
      <c r="O36" s="594">
        <f>+[4]Admin!O18+[4]BOO!O18+[4]NA!O18+[4]Engineering!O18+[4]Marketing!O18+'[4]NA Sales'!O18</f>
        <v>0</v>
      </c>
      <c r="P36" s="594">
        <f>+[4]Admin!P18+[4]BOO!P18+[4]NA!P18+[4]Engineering!P18+[4]Marketing!P18+'[4]NA Sales'!P18</f>
        <v>0</v>
      </c>
      <c r="Q36" s="594">
        <f t="shared" si="26"/>
        <v>5000</v>
      </c>
      <c r="R36" s="594"/>
      <c r="S36" s="594">
        <f t="shared" si="27"/>
        <v>0</v>
      </c>
      <c r="T36" s="594">
        <f t="shared" si="28"/>
        <v>0</v>
      </c>
      <c r="U36" s="594">
        <f t="shared" si="29"/>
        <v>0</v>
      </c>
      <c r="V36" s="594">
        <f t="shared" si="30"/>
        <v>5000</v>
      </c>
    </row>
    <row r="37" spans="1:22" ht="12.75">
      <c r="A37" s="595"/>
      <c r="B37" s="606">
        <v>46400</v>
      </c>
      <c r="C37" s="596" t="s">
        <v>458</v>
      </c>
      <c r="D37" s="593"/>
      <c r="E37" s="594">
        <f>+[4]Admin!E19+[4]BOO!E19+[4]NA!E19+[4]Engineering!E19+[4]Marketing!E19+'[4]NA Sales'!E19</f>
        <v>0</v>
      </c>
      <c r="F37" s="594">
        <f>+[4]Admin!F19+[4]BOO!F19+[4]NA!F19+[4]Engineering!F19+[4]Marketing!F19+'[4]NA Sales'!F19</f>
        <v>0</v>
      </c>
      <c r="G37" s="594">
        <f>+[4]Admin!G19+[4]BOO!G19+[4]NA!G19+[4]Engineering!G19+[4]Marketing!G19+'[4]NA Sales'!G19</f>
        <v>0</v>
      </c>
      <c r="H37" s="594">
        <f>+[4]Admin!H19+[4]BOO!H19+[4]NA!H19+[4]Engineering!H19+[4]Marketing!H19+'[4]NA Sales'!H19</f>
        <v>0</v>
      </c>
      <c r="I37" s="594">
        <f>+[4]Admin!I19+[4]BOO!I19+[4]NA!I19+[4]Engineering!I19+[4]Marketing!I19+'[4]NA Sales'!I19</f>
        <v>0</v>
      </c>
      <c r="J37" s="594">
        <f>+[4]Admin!J19+[4]BOO!J19+[4]NA!J19+[4]Engineering!J19+[4]Marketing!J19+'[4]NA Sales'!J19</f>
        <v>10000</v>
      </c>
      <c r="K37" s="594">
        <f>+[4]Admin!K19+[4]BOO!K19+[4]NA!K19+[4]Engineering!K19+[4]Marketing!K19+'[4]NA Sales'!K19</f>
        <v>0</v>
      </c>
      <c r="L37" s="594">
        <f>+[4]Admin!L19+[4]BOO!L19+[4]NA!L19+[4]Engineering!L19+[4]Marketing!L19+'[4]NA Sales'!L19</f>
        <v>0</v>
      </c>
      <c r="M37" s="594">
        <f>+[4]Admin!M19+[4]BOO!M19+[4]NA!M19+[4]Engineering!M19+[4]Marketing!M19+'[4]NA Sales'!M19</f>
        <v>15000</v>
      </c>
      <c r="N37" s="594">
        <f>+[4]Admin!N19+[4]BOO!N19+[4]NA!N19+[4]Engineering!N19+[4]Marketing!N19+'[4]NA Sales'!N19</f>
        <v>0</v>
      </c>
      <c r="O37" s="594">
        <f>+[4]Admin!O19+[4]BOO!O19+[4]NA!O19+[4]Engineering!O19+[4]Marketing!O19+'[4]NA Sales'!O19</f>
        <v>0</v>
      </c>
      <c r="P37" s="594">
        <f>+[4]Admin!P19+[4]BOO!P19+[4]NA!P19+[4]Engineering!P19+[4]Marketing!P19+'[4]NA Sales'!P19</f>
        <v>0</v>
      </c>
      <c r="Q37" s="594">
        <f t="shared" si="26"/>
        <v>25000</v>
      </c>
      <c r="R37" s="594"/>
      <c r="S37" s="594">
        <f t="shared" si="27"/>
        <v>0</v>
      </c>
      <c r="T37" s="594">
        <f t="shared" si="28"/>
        <v>10000</v>
      </c>
      <c r="U37" s="594">
        <f t="shared" si="29"/>
        <v>15000</v>
      </c>
      <c r="V37" s="594">
        <f t="shared" si="30"/>
        <v>0</v>
      </c>
    </row>
    <row r="38" spans="1:22" ht="12.75">
      <c r="A38" s="595"/>
      <c r="B38" s="606">
        <v>46600</v>
      </c>
      <c r="C38" s="596" t="s">
        <v>79</v>
      </c>
      <c r="D38" s="593"/>
      <c r="E38" s="594">
        <f>+[4]Admin!E20+[4]BOO!E20+[4]NA!E20+[4]Engineering!E20+[4]Marketing!E20+'[4]NA Sales'!E20</f>
        <v>0</v>
      </c>
      <c r="F38" s="594">
        <f>+[4]Admin!F20+[4]BOO!F20+[4]NA!F20+[4]Engineering!F20+[4]Marketing!F20+'[4]NA Sales'!F20</f>
        <v>0</v>
      </c>
      <c r="G38" s="594">
        <f>+[4]Admin!G20+[4]BOO!G20+[4]NA!G20+[4]Engineering!G20+[4]Marketing!G20+'[4]NA Sales'!G20</f>
        <v>0</v>
      </c>
      <c r="H38" s="594">
        <f>+[4]Admin!H20+[4]BOO!H20+[4]NA!H20+[4]Engineering!H20+[4]Marketing!H20+'[4]NA Sales'!H20</f>
        <v>0</v>
      </c>
      <c r="I38" s="594">
        <f>+[4]Admin!I20+[4]BOO!I20+[4]NA!I20+[4]Engineering!I20+[4]Marketing!I20+'[4]NA Sales'!I20</f>
        <v>0</v>
      </c>
      <c r="J38" s="594">
        <f>+[4]Admin!J20+[4]BOO!J20+[4]NA!J20+[4]Engineering!J20+[4]Marketing!J20+'[4]NA Sales'!J20</f>
        <v>0</v>
      </c>
      <c r="K38" s="594">
        <f>+[4]Admin!K20+[4]BOO!K20+[4]NA!K20+[4]Engineering!K20+[4]Marketing!K20+'[4]NA Sales'!K20</f>
        <v>5000</v>
      </c>
      <c r="L38" s="594">
        <f>+[4]Admin!L20+[4]BOO!L20+[4]NA!L20+[4]Engineering!L20+[4]Marketing!L20+'[4]NA Sales'!L20</f>
        <v>0</v>
      </c>
      <c r="M38" s="594">
        <f>+[4]Admin!M20+[4]BOO!M20+[4]NA!M20+[4]Engineering!M20+[4]Marketing!M20+'[4]NA Sales'!M20</f>
        <v>0</v>
      </c>
      <c r="N38" s="594">
        <f>+[4]Admin!N20+[4]BOO!N20+[4]NA!N20+[4]Engineering!N20+[4]Marketing!N20+'[4]NA Sales'!N20</f>
        <v>0</v>
      </c>
      <c r="O38" s="594">
        <f>+[4]Admin!O20+[4]BOO!O20+[4]NA!O20+[4]Engineering!O20+[4]Marketing!O20+'[4]NA Sales'!O20</f>
        <v>0</v>
      </c>
      <c r="P38" s="594">
        <f>+[4]Admin!P20+[4]BOO!P20+[4]NA!P20+[4]Engineering!P20+[4]Marketing!P20+'[4]NA Sales'!P20</f>
        <v>0</v>
      </c>
      <c r="Q38" s="594">
        <f t="shared" si="26"/>
        <v>5000</v>
      </c>
      <c r="R38" s="594"/>
      <c r="S38" s="594">
        <f t="shared" si="27"/>
        <v>0</v>
      </c>
      <c r="T38" s="594">
        <f t="shared" si="28"/>
        <v>0</v>
      </c>
      <c r="U38" s="594">
        <f t="shared" si="29"/>
        <v>5000</v>
      </c>
      <c r="V38" s="594">
        <f t="shared" si="30"/>
        <v>0</v>
      </c>
    </row>
    <row r="39" spans="1:22" ht="12.75">
      <c r="A39" s="595"/>
      <c r="B39" s="591"/>
      <c r="C39" s="596" t="s">
        <v>459</v>
      </c>
      <c r="D39" s="594">
        <f t="shared" ref="D39:P39" si="31">SUM(D34:D38)</f>
        <v>0</v>
      </c>
      <c r="E39" s="594">
        <f t="shared" si="31"/>
        <v>13736.66</v>
      </c>
      <c r="F39" s="594">
        <f t="shared" si="31"/>
        <v>13736.66</v>
      </c>
      <c r="G39" s="594">
        <f t="shared" si="31"/>
        <v>14486.66</v>
      </c>
      <c r="H39" s="594">
        <f t="shared" si="31"/>
        <v>13686.66</v>
      </c>
      <c r="I39" s="594">
        <f t="shared" si="31"/>
        <v>13686.66</v>
      </c>
      <c r="J39" s="594">
        <f t="shared" si="31"/>
        <v>23686.66</v>
      </c>
      <c r="K39" s="594">
        <f t="shared" si="31"/>
        <v>18736.66</v>
      </c>
      <c r="L39" s="594">
        <f t="shared" si="31"/>
        <v>13736.66</v>
      </c>
      <c r="M39" s="594">
        <f t="shared" si="31"/>
        <v>28736.66</v>
      </c>
      <c r="N39" s="594">
        <f t="shared" si="31"/>
        <v>18736.66</v>
      </c>
      <c r="O39" s="594">
        <f t="shared" si="31"/>
        <v>13736.66</v>
      </c>
      <c r="P39" s="594">
        <f t="shared" si="31"/>
        <v>13736.66</v>
      </c>
      <c r="Q39" s="594">
        <f t="shared" si="26"/>
        <v>200439.92</v>
      </c>
      <c r="R39" s="594"/>
      <c r="S39" s="594">
        <f t="shared" si="27"/>
        <v>41959.979999999996</v>
      </c>
      <c r="T39" s="594">
        <f t="shared" si="28"/>
        <v>51059.979999999996</v>
      </c>
      <c r="U39" s="594">
        <f t="shared" si="29"/>
        <v>61209.979999999996</v>
      </c>
      <c r="V39" s="594">
        <f t="shared" si="30"/>
        <v>46209.979999999996</v>
      </c>
    </row>
    <row r="40" spans="1:22" ht="12.75">
      <c r="A40" s="595"/>
      <c r="B40" s="591"/>
      <c r="C40" s="596"/>
      <c r="D40" s="594"/>
      <c r="E40" s="594"/>
      <c r="F40" s="594"/>
      <c r="G40" s="594"/>
      <c r="H40" s="594"/>
      <c r="I40" s="594"/>
      <c r="J40" s="594"/>
      <c r="K40" s="594"/>
      <c r="L40" s="594"/>
      <c r="M40" s="594"/>
      <c r="N40" s="594"/>
      <c r="O40" s="594"/>
      <c r="P40" s="594"/>
      <c r="Q40" s="594"/>
      <c r="R40" s="594"/>
      <c r="S40" s="594"/>
      <c r="T40" s="594"/>
      <c r="U40" s="594"/>
      <c r="V40" s="594"/>
    </row>
    <row r="41" spans="1:22" ht="12.75">
      <c r="A41" s="595"/>
      <c r="B41" s="591"/>
      <c r="C41" s="607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594"/>
      <c r="R41" s="594"/>
      <c r="S41" s="594"/>
      <c r="T41" s="594"/>
      <c r="U41" s="594"/>
      <c r="V41" s="594"/>
    </row>
    <row r="42" spans="1:22" ht="12.75">
      <c r="A42" s="608"/>
      <c r="B42" s="591">
        <v>70100</v>
      </c>
      <c r="C42" s="596" t="s">
        <v>496</v>
      </c>
      <c r="D42" s="593">
        <v>0</v>
      </c>
      <c r="E42" s="593">
        <f>+[4]Admin!E60+[4]BOO!E60+[4]NA!E60+[4]Engineering!E65+[4]Marketing!E60+'[4]NA Sales'!E61</f>
        <v>15290</v>
      </c>
      <c r="F42" s="593">
        <f>+[4]Admin!F60+[4]BOO!F60+[4]NA!F60+[4]Engineering!F65+[4]Marketing!F60+'[4]NA Sales'!F61</f>
        <v>3990</v>
      </c>
      <c r="G42" s="593">
        <f>+[4]Admin!G60+[4]BOO!G60+[4]NA!G60+[4]Engineering!G65+[4]Marketing!G60+'[4]NA Sales'!G61</f>
        <v>6990</v>
      </c>
      <c r="H42" s="593">
        <f>+[4]Admin!H60+[4]BOO!H60+[4]NA!H60+[4]Engineering!H65+[4]Marketing!H60+'[4]NA Sales'!H61</f>
        <v>6990</v>
      </c>
      <c r="I42" s="593">
        <f>+[4]Admin!I60+[4]BOO!I60+[4]NA!I60+[4]Engineering!I65+[4]Marketing!I60+'[4]NA Sales'!I61</f>
        <v>6990</v>
      </c>
      <c r="J42" s="593">
        <f>+[4]Admin!J60+[4]BOO!J60+[4]NA!J60+[4]Engineering!J65+[4]Marketing!J60+'[4]NA Sales'!J61</f>
        <v>6990</v>
      </c>
      <c r="K42" s="593">
        <f>+[4]Admin!K60+[4]BOO!K60+[4]NA!K60+[4]Engineering!K65+[4]Marketing!K60+'[4]NA Sales'!K61</f>
        <v>6990</v>
      </c>
      <c r="L42" s="593">
        <f>+[4]Admin!L60+[4]BOO!L60+[4]NA!L60+[4]Engineering!L65+[4]Marketing!L60+'[4]NA Sales'!L61</f>
        <v>21990</v>
      </c>
      <c r="M42" s="593">
        <f>+[4]Admin!M60+[4]BOO!M60+[4]NA!M60+[4]Engineering!M65+[4]Marketing!M60+'[4]NA Sales'!M61</f>
        <v>21990</v>
      </c>
      <c r="N42" s="593">
        <f>+[4]Admin!N60+[4]BOO!N60+[4]NA!N60+[4]Engineering!N65+[4]Marketing!N60+'[4]NA Sales'!N61</f>
        <v>18990</v>
      </c>
      <c r="O42" s="593">
        <f>+[4]Admin!O60+[4]BOO!O60+[4]NA!O60+[4]Engineering!O65+[4]Marketing!O60+'[4]NA Sales'!O61</f>
        <v>26490</v>
      </c>
      <c r="P42" s="593">
        <f>+[4]Admin!P60+[4]BOO!P60+[4]NA!P60+[4]Engineering!P65+[4]Marketing!P60+'[4]NA Sales'!P61</f>
        <v>26490</v>
      </c>
      <c r="Q42" s="594">
        <f>SUM(E42:P42)</f>
        <v>170180</v>
      </c>
      <c r="R42" s="594"/>
      <c r="S42" s="594">
        <f>SUM(E42:G42)</f>
        <v>26270</v>
      </c>
      <c r="T42" s="594">
        <f>SUM(H42:J42)</f>
        <v>20970</v>
      </c>
      <c r="U42" s="594">
        <f>SUM(K42:M42)</f>
        <v>50970</v>
      </c>
      <c r="V42" s="594">
        <f>SUM(N42:P42)</f>
        <v>71970</v>
      </c>
    </row>
    <row r="43" spans="1:22" ht="12.75">
      <c r="A43" s="608"/>
      <c r="B43" s="591">
        <v>70200</v>
      </c>
      <c r="C43" s="596" t="s">
        <v>497</v>
      </c>
      <c r="D43" s="593">
        <v>0</v>
      </c>
      <c r="E43" s="593">
        <f>+[4]Admin!E61+[4]BOO!E61+[4]NA!E61+[4]Engineering!E66+[4]Marketing!E61+'[4]NA Sales'!E62</f>
        <v>20700</v>
      </c>
      <c r="F43" s="593">
        <f>+[4]Admin!F61+[4]BOO!F61+[4]NA!F61+[4]Engineering!F66+[4]Marketing!F61+'[4]NA Sales'!F62</f>
        <v>20700</v>
      </c>
      <c r="G43" s="593">
        <f>+[4]Admin!G61+[4]BOO!G61+[4]NA!G61+[4]Engineering!G66+[4]Marketing!G61+'[4]NA Sales'!G62</f>
        <v>27674.444444444445</v>
      </c>
      <c r="H43" s="593">
        <f>+[4]Admin!H61+[4]BOO!H61+[4]NA!H61+[4]Engineering!H66+[4]Marketing!H61+'[4]NA Sales'!H62</f>
        <v>39367.777777777781</v>
      </c>
      <c r="I43" s="593">
        <f>+[4]Admin!I61+[4]BOO!I61+[4]NA!I61+[4]Engineering!I66+[4]Marketing!I61+'[4]NA Sales'!I62</f>
        <v>30952.222222222223</v>
      </c>
      <c r="J43" s="593">
        <f>+[4]Admin!J61+[4]BOO!J61+[4]NA!J61+[4]Engineering!J66+[4]Marketing!J61+'[4]NA Sales'!J62</f>
        <v>44654.444444444445</v>
      </c>
      <c r="K43" s="593">
        <f>+[4]Admin!K61+[4]BOO!K61+[4]NA!K61+[4]Engineering!K66+[4]Marketing!K61+'[4]NA Sales'!K62</f>
        <v>35547.777777777781</v>
      </c>
      <c r="L43" s="593">
        <f>+[4]Admin!L61+[4]BOO!L61+[4]NA!L61+[4]Engineering!L66+[4]Marketing!L61+'[4]NA Sales'!L62</f>
        <v>48241.111111111109</v>
      </c>
      <c r="M43" s="593">
        <f>+[4]Admin!M61+[4]BOO!M61+[4]NA!M61+[4]Engineering!M66+[4]Marketing!M61+'[4]NA Sales'!M62</f>
        <v>39752.222222222219</v>
      </c>
      <c r="N43" s="593">
        <f>+[4]Admin!N61+[4]BOO!N61+[4]NA!N61+[4]Engineering!N66+[4]Marketing!N61+'[4]NA Sales'!N62</f>
        <v>52990</v>
      </c>
      <c r="O43" s="593">
        <f>+[4]Admin!O61+[4]BOO!O61+[4]NA!O61+[4]Engineering!O66+[4]Marketing!O61+'[4]NA Sales'!O62</f>
        <v>43577.777777777781</v>
      </c>
      <c r="P43" s="593">
        <f>+[4]Admin!P61+[4]BOO!P61+[4]NA!P61+[4]Engineering!P66+[4]Marketing!P61+'[4]NA Sales'!P62</f>
        <v>56888.888888888891</v>
      </c>
      <c r="Q43" s="594">
        <f>SUM(E43:P43)</f>
        <v>461046.66666666663</v>
      </c>
      <c r="R43" s="594"/>
      <c r="S43" s="594">
        <f>SUM(E43:G43)</f>
        <v>69074.444444444438</v>
      </c>
      <c r="T43" s="594">
        <f>SUM(H43:J43)</f>
        <v>114974.44444444444</v>
      </c>
      <c r="U43" s="594">
        <f>SUM(K43:M43)</f>
        <v>123541.11111111111</v>
      </c>
      <c r="V43" s="594">
        <f>SUM(N43:P43)</f>
        <v>153456.66666666669</v>
      </c>
    </row>
    <row r="44" spans="1:22" ht="12.75">
      <c r="A44" s="595"/>
      <c r="B44" s="591">
        <v>47100</v>
      </c>
      <c r="C44" s="607" t="s">
        <v>460</v>
      </c>
      <c r="D44" s="594">
        <f>+'[5]R&amp;D May Comparison'!B21</f>
        <v>3350.1666666666665</v>
      </c>
      <c r="E44" s="594">
        <f>+[4]Engineering!E24</f>
        <v>0</v>
      </c>
      <c r="F44" s="594">
        <f>+[4]Engineering!F24</f>
        <v>0</v>
      </c>
      <c r="G44" s="594">
        <f>+[4]Engineering!G24</f>
        <v>0</v>
      </c>
      <c r="H44" s="594">
        <f>+[4]Engineering!H24</f>
        <v>0</v>
      </c>
      <c r="I44" s="594">
        <f>+[4]Engineering!I24</f>
        <v>0</v>
      </c>
      <c r="J44" s="594">
        <f>+[4]Engineering!J24</f>
        <v>0</v>
      </c>
      <c r="K44" s="594">
        <f>+[4]Engineering!K24</f>
        <v>0</v>
      </c>
      <c r="L44" s="594">
        <f>+[4]Engineering!L24</f>
        <v>0</v>
      </c>
      <c r="M44" s="594">
        <f>+[4]Engineering!M24</f>
        <v>0</v>
      </c>
      <c r="N44" s="594">
        <f>+[4]Engineering!N24</f>
        <v>0</v>
      </c>
      <c r="O44" s="594">
        <f>+[4]Engineering!O24</f>
        <v>0</v>
      </c>
      <c r="P44" s="594">
        <f>+[4]Engineering!P24</f>
        <v>0</v>
      </c>
      <c r="Q44" s="594">
        <f t="shared" ref="Q44:Q45" si="32">SUM(E44:P44)</f>
        <v>0</v>
      </c>
      <c r="R44" s="594"/>
      <c r="S44" s="594">
        <f>SUM(E44:G44)</f>
        <v>0</v>
      </c>
      <c r="T44" s="594">
        <f>SUM(H44:J44)</f>
        <v>0</v>
      </c>
      <c r="U44" s="594">
        <f>SUM(K44:M44)</f>
        <v>0</v>
      </c>
      <c r="V44" s="594">
        <f>SUM(N44:P44)</f>
        <v>0</v>
      </c>
    </row>
    <row r="45" spans="1:22" ht="12.75">
      <c r="A45" s="595"/>
      <c r="B45" s="591"/>
      <c r="C45" s="607" t="s">
        <v>461</v>
      </c>
      <c r="D45" s="594">
        <f>+D44</f>
        <v>3350.1666666666665</v>
      </c>
      <c r="E45" s="594">
        <f>SUM(E42:E44)</f>
        <v>35990</v>
      </c>
      <c r="F45" s="594">
        <f t="shared" ref="F45:P45" si="33">SUM(F42:F44)</f>
        <v>24690</v>
      </c>
      <c r="G45" s="594">
        <f t="shared" si="33"/>
        <v>34664.444444444445</v>
      </c>
      <c r="H45" s="594">
        <f t="shared" si="33"/>
        <v>46357.777777777781</v>
      </c>
      <c r="I45" s="594">
        <f t="shared" si="33"/>
        <v>37942.222222222219</v>
      </c>
      <c r="J45" s="594">
        <f t="shared" si="33"/>
        <v>51644.444444444445</v>
      </c>
      <c r="K45" s="594">
        <f t="shared" si="33"/>
        <v>42537.777777777781</v>
      </c>
      <c r="L45" s="594">
        <f t="shared" si="33"/>
        <v>70231.111111111109</v>
      </c>
      <c r="M45" s="594">
        <f t="shared" si="33"/>
        <v>61742.222222222219</v>
      </c>
      <c r="N45" s="594">
        <f t="shared" si="33"/>
        <v>71980</v>
      </c>
      <c r="O45" s="594">
        <f t="shared" si="33"/>
        <v>70067.777777777781</v>
      </c>
      <c r="P45" s="594">
        <f t="shared" si="33"/>
        <v>83378.888888888891</v>
      </c>
      <c r="Q45" s="594">
        <f t="shared" si="32"/>
        <v>631226.66666666663</v>
      </c>
      <c r="R45" s="594"/>
      <c r="S45" s="594">
        <f>+S44</f>
        <v>0</v>
      </c>
      <c r="T45" s="594">
        <f>+T44</f>
        <v>0</v>
      </c>
      <c r="U45" s="594">
        <f>+U44</f>
        <v>0</v>
      </c>
      <c r="V45" s="594">
        <f>+V44</f>
        <v>0</v>
      </c>
    </row>
    <row r="46" spans="1:22" ht="12.75">
      <c r="A46" s="595"/>
      <c r="B46" s="591"/>
      <c r="C46" s="596"/>
      <c r="D46" s="594"/>
      <c r="F46" s="594"/>
      <c r="G46" s="594"/>
      <c r="H46" s="594"/>
      <c r="I46" s="594"/>
      <c r="J46" s="594"/>
      <c r="K46" s="594"/>
      <c r="L46" s="594"/>
      <c r="M46" s="594"/>
      <c r="N46" s="594"/>
      <c r="O46" s="594"/>
      <c r="P46" s="594"/>
      <c r="Q46" s="594"/>
      <c r="R46" s="594"/>
      <c r="S46" s="594"/>
      <c r="T46" s="594"/>
      <c r="U46" s="594"/>
      <c r="V46" s="594"/>
    </row>
    <row r="47" spans="1:22">
      <c r="A47" s="595"/>
      <c r="B47" s="591"/>
      <c r="C47" s="592"/>
      <c r="D47" s="593"/>
      <c r="E47" s="594"/>
      <c r="F47" s="594"/>
      <c r="G47" s="594"/>
      <c r="H47" s="594"/>
      <c r="I47" s="594"/>
      <c r="J47" s="594"/>
      <c r="K47" s="594"/>
      <c r="L47" s="594"/>
      <c r="M47" s="594"/>
      <c r="N47" s="594"/>
      <c r="O47" s="594"/>
      <c r="P47" s="594"/>
      <c r="Q47" s="594"/>
      <c r="R47" s="594"/>
      <c r="S47" s="594"/>
      <c r="T47" s="594"/>
      <c r="U47" s="594"/>
      <c r="V47" s="594"/>
    </row>
    <row r="48" spans="1:22" ht="12.75">
      <c r="A48" s="595"/>
      <c r="B48" s="606">
        <v>47400</v>
      </c>
      <c r="C48" s="596" t="s">
        <v>462</v>
      </c>
      <c r="D48" s="593">
        <f>+'[5]R&amp;D May Comparison'!B25</f>
        <v>5.583333333333333</v>
      </c>
      <c r="E48" s="594">
        <f>+[4]Admin!E23+[4]BOO!E23+[4]NA!E23+[4]Engineering!E28+[4]Marketing!E23+'[4]NA Sales'!E23</f>
        <v>0</v>
      </c>
      <c r="F48" s="594">
        <f>+[4]Admin!F23+[4]BOO!F23+[4]NA!F23+[4]Engineering!F28+[4]Marketing!F23+'[4]NA Sales'!F23</f>
        <v>0</v>
      </c>
      <c r="G48" s="594">
        <f>+[4]Admin!G23+[4]BOO!G23+[4]NA!G23+[4]Engineering!G28+[4]Marketing!G23+'[4]NA Sales'!G23</f>
        <v>0</v>
      </c>
      <c r="H48" s="594">
        <f>+[4]Admin!H23+[4]BOO!H23+[4]NA!H23+[4]Engineering!H28+[4]Marketing!H23+'[4]NA Sales'!H23</f>
        <v>0</v>
      </c>
      <c r="I48" s="594">
        <f>+[4]Admin!I23+[4]BOO!I23+[4]NA!I23+[4]Engineering!I28+[4]Marketing!I23+'[4]NA Sales'!I23</f>
        <v>0</v>
      </c>
      <c r="J48" s="594">
        <f>+[4]Admin!J23+[4]BOO!J23+[4]NA!J23+[4]Engineering!J28+[4]Marketing!J23+'[4]NA Sales'!J23</f>
        <v>0</v>
      </c>
      <c r="K48" s="594">
        <f>+[4]Admin!K23+[4]BOO!K23+[4]NA!K23+[4]Engineering!K28+[4]Marketing!K23+'[4]NA Sales'!K23</f>
        <v>0</v>
      </c>
      <c r="L48" s="594">
        <f>+[4]Admin!L23+[4]BOO!L23+[4]NA!L23+[4]Engineering!L28+[4]Marketing!L23+'[4]NA Sales'!L23</f>
        <v>0</v>
      </c>
      <c r="M48" s="594">
        <f>+[4]Admin!M23+[4]BOO!M23+[4]NA!M23+[4]Engineering!M28+[4]Marketing!M23+'[4]NA Sales'!M23</f>
        <v>0</v>
      </c>
      <c r="N48" s="594">
        <f>+[4]Admin!N23+[4]BOO!N23+[4]NA!N23+[4]Engineering!N28+[4]Marketing!N23+'[4]NA Sales'!N23</f>
        <v>0</v>
      </c>
      <c r="O48" s="594">
        <f>+[4]Admin!O23+[4]BOO!O23+[4]NA!O23+[4]Engineering!O28+[4]Marketing!O23+'[4]NA Sales'!O23</f>
        <v>0</v>
      </c>
      <c r="P48" s="594">
        <f>+[4]Admin!P23+[4]BOO!P23+[4]NA!P23+[4]Engineering!P28+[4]Marketing!P23+'[4]NA Sales'!P23</f>
        <v>0</v>
      </c>
      <c r="Q48" s="594">
        <f t="shared" ref="Q48:Q53" si="34">SUM(E48:P48)</f>
        <v>0</v>
      </c>
      <c r="R48" s="594"/>
      <c r="S48" s="594">
        <f t="shared" ref="S48:S53" si="35">SUM(E48:G48)</f>
        <v>0</v>
      </c>
      <c r="T48" s="594">
        <f t="shared" ref="T48:T53" si="36">SUM(H48:J48)</f>
        <v>0</v>
      </c>
      <c r="U48" s="594">
        <f t="shared" ref="U48:U53" si="37">SUM(K48:M48)</f>
        <v>0</v>
      </c>
      <c r="V48" s="594">
        <f t="shared" ref="V48:V53" si="38">SUM(N48:P48)</f>
        <v>0</v>
      </c>
    </row>
    <row r="49" spans="1:23" ht="12.75">
      <c r="A49" s="595"/>
      <c r="B49" s="591">
        <v>50100</v>
      </c>
      <c r="C49" s="596" t="s">
        <v>463</v>
      </c>
      <c r="D49" s="593">
        <f>+'[5]R&amp;D May Comparison'!B26</f>
        <v>68.583333333333329</v>
      </c>
      <c r="E49" s="594">
        <f>+[4]Admin!E24+[4]BOO!E24+[4]NA!E24+[4]Engineering!E29+[4]Marketing!E24+'[4]NA Sales'!E24</f>
        <v>100</v>
      </c>
      <c r="F49" s="594">
        <f>+[4]Admin!F24+[4]BOO!F24+[4]NA!F24+[4]Engineering!F29+[4]Marketing!F24+'[4]NA Sales'!F24</f>
        <v>100</v>
      </c>
      <c r="G49" s="594">
        <f>+[4]Admin!G24+[4]BOO!G24+[4]NA!G24+[4]Engineering!G29+[4]Marketing!G24+'[4]NA Sales'!G24</f>
        <v>100</v>
      </c>
      <c r="H49" s="594">
        <f>+[4]Admin!H24+[4]BOO!H24+[4]NA!H24+[4]Engineering!H29+[4]Marketing!H24+'[4]NA Sales'!H24</f>
        <v>100</v>
      </c>
      <c r="I49" s="594">
        <f>+[4]Admin!I24+[4]BOO!I24+[4]NA!I24+[4]Engineering!I29+[4]Marketing!I24+'[4]NA Sales'!I24</f>
        <v>100</v>
      </c>
      <c r="J49" s="594">
        <f>+[4]Admin!J24+[4]BOO!J24+[4]NA!J24+[4]Engineering!J29+[4]Marketing!J24+'[4]NA Sales'!J24</f>
        <v>100</v>
      </c>
      <c r="K49" s="594">
        <f>+[4]Admin!K24+[4]BOO!K24+[4]NA!K24+[4]Engineering!K29+[4]Marketing!K24+'[4]NA Sales'!K24</f>
        <v>100</v>
      </c>
      <c r="L49" s="594">
        <f>+[4]Admin!L24+[4]BOO!L24+[4]NA!L24+[4]Engineering!L29+[4]Marketing!L24+'[4]NA Sales'!L24</f>
        <v>100</v>
      </c>
      <c r="M49" s="594">
        <f>+[4]Admin!M24+[4]BOO!M24+[4]NA!M24+[4]Engineering!M29+[4]Marketing!M24+'[4]NA Sales'!M24</f>
        <v>100</v>
      </c>
      <c r="N49" s="594">
        <f>+[4]Admin!N24+[4]BOO!N24+[4]NA!N24+[4]Engineering!N29+[4]Marketing!N24+'[4]NA Sales'!N24</f>
        <v>100</v>
      </c>
      <c r="O49" s="594">
        <f>+[4]Admin!O24+[4]BOO!O24+[4]NA!O24+[4]Engineering!O29+[4]Marketing!O24+'[4]NA Sales'!O24</f>
        <v>100</v>
      </c>
      <c r="P49" s="594">
        <f>+[4]Admin!P24+[4]BOO!P24+[4]NA!P24+[4]Engineering!P29+[4]Marketing!P24+'[4]NA Sales'!P24</f>
        <v>100</v>
      </c>
      <c r="Q49" s="594">
        <f t="shared" si="34"/>
        <v>1200</v>
      </c>
      <c r="R49" s="594"/>
      <c r="S49" s="594">
        <f t="shared" si="35"/>
        <v>300</v>
      </c>
      <c r="T49" s="594">
        <f t="shared" si="36"/>
        <v>300</v>
      </c>
      <c r="U49" s="594">
        <f t="shared" si="37"/>
        <v>300</v>
      </c>
      <c r="V49" s="594">
        <f t="shared" si="38"/>
        <v>300</v>
      </c>
    </row>
    <row r="50" spans="1:23" ht="12.75">
      <c r="A50" s="595"/>
      <c r="B50" s="591">
        <v>50200</v>
      </c>
      <c r="C50" s="596" t="s">
        <v>464</v>
      </c>
      <c r="D50" s="593">
        <f>+'[5]R&amp;D May Comparison'!B27</f>
        <v>615.25</v>
      </c>
      <c r="E50" s="594">
        <f>+[4]Admin!E25+[4]BOO!E25+[4]NA!E25+[4]Engineering!E30+[4]Marketing!E25+'[4]NA Sales'!E25</f>
        <v>2275</v>
      </c>
      <c r="F50" s="594">
        <f>+[4]Admin!F25+[4]BOO!F25+[4]NA!F25+[4]Engineering!F30+[4]Marketing!F25+'[4]NA Sales'!F25</f>
        <v>2275</v>
      </c>
      <c r="G50" s="594">
        <f>+[4]Admin!G25+[4]BOO!G25+[4]NA!G25+[4]Engineering!G30+[4]Marketing!G25+'[4]NA Sales'!G25</f>
        <v>2410</v>
      </c>
      <c r="H50" s="594">
        <f>+[4]Admin!H25+[4]BOO!H25+[4]NA!H25+[4]Engineering!H30+[4]Marketing!H25+'[4]NA Sales'!H25</f>
        <v>2300</v>
      </c>
      <c r="I50" s="594">
        <f>+[4]Admin!I25+[4]BOO!I25+[4]NA!I25+[4]Engineering!I30+[4]Marketing!I25+'[4]NA Sales'!I25</f>
        <v>2300</v>
      </c>
      <c r="J50" s="594">
        <f>+[4]Admin!J25+[4]BOO!J25+[4]NA!J25+[4]Engineering!J30+[4]Marketing!J25+'[4]NA Sales'!J25</f>
        <v>2300</v>
      </c>
      <c r="K50" s="594">
        <f>+[4]Admin!K25+[4]BOO!K25+[4]NA!K25+[4]Engineering!K30+[4]Marketing!K25+'[4]NA Sales'!K25</f>
        <v>2300</v>
      </c>
      <c r="L50" s="594">
        <f>+[4]Admin!L25+[4]BOO!L25+[4]NA!L25+[4]Engineering!L30+[4]Marketing!L25+'[4]NA Sales'!L25</f>
        <v>2300</v>
      </c>
      <c r="M50" s="594">
        <f>+[4]Admin!M25+[4]BOO!M25+[4]NA!M25+[4]Engineering!M30+[4]Marketing!M25+'[4]NA Sales'!M25</f>
        <v>2325</v>
      </c>
      <c r="N50" s="594">
        <f>+[4]Admin!N25+[4]BOO!N25+[4]NA!N25+[4]Engineering!N30+[4]Marketing!N25+'[4]NA Sales'!N25</f>
        <v>2325</v>
      </c>
      <c r="O50" s="594">
        <f>+[4]Admin!O25+[4]BOO!O25+[4]NA!O25+[4]Engineering!O30+[4]Marketing!O25+'[4]NA Sales'!O25</f>
        <v>2325</v>
      </c>
      <c r="P50" s="594">
        <f>+[4]Admin!P25+[4]BOO!P25+[4]NA!P25+[4]Engineering!P30+[4]Marketing!P25+'[4]NA Sales'!P25</f>
        <v>2325</v>
      </c>
      <c r="Q50" s="594">
        <f t="shared" si="34"/>
        <v>27760</v>
      </c>
      <c r="R50" s="594"/>
      <c r="S50" s="594">
        <f t="shared" si="35"/>
        <v>6960</v>
      </c>
      <c r="T50" s="594">
        <f t="shared" si="36"/>
        <v>6900</v>
      </c>
      <c r="U50" s="594">
        <f t="shared" si="37"/>
        <v>6925</v>
      </c>
      <c r="V50" s="594">
        <f t="shared" si="38"/>
        <v>6975</v>
      </c>
    </row>
    <row r="51" spans="1:23" ht="12.75">
      <c r="A51" s="595"/>
      <c r="B51" s="591">
        <v>50250</v>
      </c>
      <c r="C51" s="596" t="s">
        <v>465</v>
      </c>
      <c r="D51" s="593">
        <f>+'[5]R&amp;D May Comparison'!B28</f>
        <v>99.75</v>
      </c>
      <c r="E51" s="594">
        <f>+[4]Admin!E26+[4]BOO!E26+[4]NA!E26+[4]Engineering!E31+[4]Marketing!E26+'[4]NA Sales'!E26</f>
        <v>0</v>
      </c>
      <c r="F51" s="594">
        <f>+[4]Admin!F26+[4]BOO!F26+[4]NA!F26+[4]Engineering!F31+[4]Marketing!F26+'[4]NA Sales'!F26</f>
        <v>0</v>
      </c>
      <c r="G51" s="594">
        <f>+[4]Admin!G26+[4]BOO!G26+[4]NA!G26+[4]Engineering!G31+[4]Marketing!G26+'[4]NA Sales'!G26</f>
        <v>0</v>
      </c>
      <c r="H51" s="594">
        <f>+[4]Admin!H26+[4]BOO!H26+[4]NA!H26+[4]Engineering!H31+[4]Marketing!H26+'[4]NA Sales'!H26</f>
        <v>0</v>
      </c>
      <c r="I51" s="594">
        <f>+[4]Admin!I26+[4]BOO!I26+[4]NA!I26+[4]Engineering!I31+[4]Marketing!I26+'[4]NA Sales'!I26</f>
        <v>0</v>
      </c>
      <c r="J51" s="594">
        <f>+[4]Admin!J26+[4]BOO!J26+[4]NA!J26+[4]Engineering!J31+[4]Marketing!J26+'[4]NA Sales'!J26</f>
        <v>0</v>
      </c>
      <c r="K51" s="594">
        <f>+[4]Admin!K26+[4]BOO!K26+[4]NA!K26+[4]Engineering!K31+[4]Marketing!K26+'[4]NA Sales'!K26</f>
        <v>0</v>
      </c>
      <c r="L51" s="594">
        <f>+[4]Admin!L26+[4]BOO!L26+[4]NA!L26+[4]Engineering!L31+[4]Marketing!L26+'[4]NA Sales'!L26</f>
        <v>0</v>
      </c>
      <c r="M51" s="594">
        <f>+[4]Admin!M26+[4]BOO!M26+[4]NA!M26+[4]Engineering!M31+[4]Marketing!M26+'[4]NA Sales'!M26</f>
        <v>0</v>
      </c>
      <c r="N51" s="594">
        <f>+[4]Admin!N26+[4]BOO!N26+[4]NA!N26+[4]Engineering!N31+[4]Marketing!N26+'[4]NA Sales'!N26</f>
        <v>0</v>
      </c>
      <c r="O51" s="594">
        <f>+[4]Admin!O26+[4]BOO!O26+[4]NA!O26+[4]Engineering!O31+[4]Marketing!O26+'[4]NA Sales'!O26</f>
        <v>0</v>
      </c>
      <c r="P51" s="594">
        <f>+[4]Admin!P26+[4]BOO!P26+[4]NA!P26+[4]Engineering!P31+[4]Marketing!P26+'[4]NA Sales'!P26</f>
        <v>0</v>
      </c>
      <c r="Q51" s="594">
        <f t="shared" si="34"/>
        <v>0</v>
      </c>
      <c r="R51" s="594"/>
      <c r="S51" s="594">
        <f t="shared" si="35"/>
        <v>0</v>
      </c>
      <c r="T51" s="594">
        <f t="shared" si="36"/>
        <v>0</v>
      </c>
      <c r="U51" s="594">
        <f t="shared" si="37"/>
        <v>0</v>
      </c>
      <c r="V51" s="594">
        <f t="shared" si="38"/>
        <v>0</v>
      </c>
    </row>
    <row r="52" spans="1:23" ht="12.75">
      <c r="A52" s="595"/>
      <c r="B52" s="606">
        <v>51100</v>
      </c>
      <c r="C52" s="596" t="s">
        <v>466</v>
      </c>
      <c r="D52" s="593">
        <f>+'[5]R&amp;D May Comparison'!B29</f>
        <v>3.3333333333333335</v>
      </c>
      <c r="E52" s="594">
        <f>+[4]Admin!E27+[4]BOO!E27+[4]NA!E27+[4]Engineering!E32+[4]Marketing!E27+'[4]NA Sales'!E27</f>
        <v>650</v>
      </c>
      <c r="F52" s="594">
        <f>+[4]Admin!F27+[4]BOO!F27+[4]NA!F27+[4]Engineering!F32+[4]Marketing!F27+'[4]NA Sales'!F27</f>
        <v>650</v>
      </c>
      <c r="G52" s="594">
        <f>+[4]Admin!G27+[4]BOO!G27+[4]NA!G27+[4]Engineering!G32+[4]Marketing!G27+'[4]NA Sales'!G27</f>
        <v>760</v>
      </c>
      <c r="H52" s="594">
        <f>+[4]Admin!H27+[4]BOO!H27+[4]NA!H27+[4]Engineering!H32+[4]Marketing!H27+'[4]NA Sales'!H27</f>
        <v>650</v>
      </c>
      <c r="I52" s="594">
        <f>+[4]Admin!I27+[4]BOO!I27+[4]NA!I27+[4]Engineering!I32+[4]Marketing!I27+'[4]NA Sales'!I27</f>
        <v>650</v>
      </c>
      <c r="J52" s="594">
        <f>+[4]Admin!J27+[4]BOO!J27+[4]NA!J27+[4]Engineering!J32+[4]Marketing!J27+'[4]NA Sales'!J27</f>
        <v>1190</v>
      </c>
      <c r="K52" s="594">
        <f>+[4]Admin!K27+[4]BOO!K27+[4]NA!K27+[4]Engineering!K32+[4]Marketing!K27+'[4]NA Sales'!K27</f>
        <v>650</v>
      </c>
      <c r="L52" s="594">
        <f>+[4]Admin!L27+[4]BOO!L27+[4]NA!L27+[4]Engineering!L32+[4]Marketing!L27+'[4]NA Sales'!L27</f>
        <v>650</v>
      </c>
      <c r="M52" s="594">
        <f>+[4]Admin!M27+[4]BOO!M27+[4]NA!M27+[4]Engineering!M32+[4]Marketing!M27+'[4]NA Sales'!M27</f>
        <v>800</v>
      </c>
      <c r="N52" s="594">
        <f>+[4]Admin!N27+[4]BOO!N27+[4]NA!N27+[4]Engineering!N32+[4]Marketing!N27+'[4]NA Sales'!N27</f>
        <v>650</v>
      </c>
      <c r="O52" s="594">
        <f>+[4]Admin!O27+[4]BOO!O27+[4]NA!O27+[4]Engineering!O32+[4]Marketing!O27+'[4]NA Sales'!O27</f>
        <v>650</v>
      </c>
      <c r="P52" s="594">
        <f>+[4]Admin!P27+[4]BOO!P27+[4]NA!P27+[4]Engineering!P32+[4]Marketing!P27+'[4]NA Sales'!P27</f>
        <v>650</v>
      </c>
      <c r="Q52" s="594">
        <f t="shared" si="34"/>
        <v>8600</v>
      </c>
      <c r="R52" s="594"/>
      <c r="S52" s="594">
        <f t="shared" si="35"/>
        <v>2060</v>
      </c>
      <c r="T52" s="594">
        <f t="shared" si="36"/>
        <v>2490</v>
      </c>
      <c r="U52" s="594">
        <f t="shared" si="37"/>
        <v>2100</v>
      </c>
      <c r="V52" s="594">
        <f t="shared" si="38"/>
        <v>1950</v>
      </c>
    </row>
    <row r="53" spans="1:23" ht="12.75">
      <c r="A53" s="595"/>
      <c r="B53" s="591"/>
      <c r="C53" s="596" t="s">
        <v>467</v>
      </c>
      <c r="D53" s="594">
        <f t="shared" ref="D53:P53" si="39">SUM(D48:D52)</f>
        <v>792.5</v>
      </c>
      <c r="E53" s="594">
        <f t="shared" si="39"/>
        <v>3025</v>
      </c>
      <c r="F53" s="594">
        <f t="shared" si="39"/>
        <v>3025</v>
      </c>
      <c r="G53" s="594">
        <f t="shared" si="39"/>
        <v>3270</v>
      </c>
      <c r="H53" s="594">
        <f t="shared" si="39"/>
        <v>3050</v>
      </c>
      <c r="I53" s="594">
        <f t="shared" si="39"/>
        <v>3050</v>
      </c>
      <c r="J53" s="594">
        <f t="shared" si="39"/>
        <v>3590</v>
      </c>
      <c r="K53" s="594">
        <f t="shared" si="39"/>
        <v>3050</v>
      </c>
      <c r="L53" s="594">
        <f t="shared" si="39"/>
        <v>3050</v>
      </c>
      <c r="M53" s="594">
        <f t="shared" si="39"/>
        <v>3225</v>
      </c>
      <c r="N53" s="594">
        <f t="shared" si="39"/>
        <v>3075</v>
      </c>
      <c r="O53" s="594">
        <f t="shared" si="39"/>
        <v>3075</v>
      </c>
      <c r="P53" s="594">
        <f t="shared" si="39"/>
        <v>3075</v>
      </c>
      <c r="Q53" s="594">
        <f t="shared" si="34"/>
        <v>37560</v>
      </c>
      <c r="R53" s="594"/>
      <c r="S53" s="594">
        <f t="shared" si="35"/>
        <v>9320</v>
      </c>
      <c r="T53" s="594">
        <f t="shared" si="36"/>
        <v>9690</v>
      </c>
      <c r="U53" s="594">
        <f t="shared" si="37"/>
        <v>9325</v>
      </c>
      <c r="V53" s="594">
        <f t="shared" si="38"/>
        <v>9225</v>
      </c>
      <c r="W53" s="594"/>
    </row>
    <row r="54" spans="1:23">
      <c r="A54" s="595"/>
      <c r="B54" s="606"/>
      <c r="C54" s="609"/>
      <c r="D54" s="610"/>
      <c r="E54" s="594"/>
      <c r="F54" s="594"/>
      <c r="G54" s="594"/>
      <c r="H54" s="594"/>
      <c r="I54" s="594"/>
      <c r="J54" s="594"/>
      <c r="K54" s="594"/>
      <c r="L54" s="594"/>
      <c r="M54" s="594"/>
      <c r="N54" s="594"/>
      <c r="O54" s="594"/>
      <c r="P54" s="594"/>
      <c r="Q54" s="594"/>
      <c r="R54" s="594"/>
      <c r="S54" s="594"/>
      <c r="T54" s="594"/>
      <c r="U54" s="594"/>
      <c r="V54" s="594"/>
    </row>
    <row r="55" spans="1:23" ht="12.75">
      <c r="A55" s="595"/>
      <c r="B55" s="591">
        <v>52100</v>
      </c>
      <c r="C55" s="607" t="s">
        <v>468</v>
      </c>
      <c r="D55" s="593">
        <f>+'[5]R&amp;D May Comparison'!B33</f>
        <v>392.91666666666669</v>
      </c>
      <c r="E55" s="594">
        <f>+[4]Admin!E30+[4]BOO!E30+[4]NA!E30+[4]Engineering!E35+[4]Marketing!E30+'[4]NA Sales'!E30</f>
        <v>4950</v>
      </c>
      <c r="F55" s="594">
        <f>+[4]Admin!F30+[4]BOO!F30+[4]NA!F30+[4]Engineering!F35+[4]Marketing!F30+'[4]NA Sales'!F30</f>
        <v>7450</v>
      </c>
      <c r="G55" s="594">
        <f>+[4]Admin!G30+[4]BOO!G30+[4]NA!G30+[4]Engineering!G35+[4]Marketing!G30+'[4]NA Sales'!G30</f>
        <v>9450</v>
      </c>
      <c r="H55" s="594">
        <f>+[4]Admin!H30+[4]BOO!H30+[4]NA!H30+[4]Engineering!H35+[4]Marketing!H30+'[4]NA Sales'!H30</f>
        <v>7450</v>
      </c>
      <c r="I55" s="594">
        <f>+[4]Admin!I30+[4]BOO!I30+[4]NA!I30+[4]Engineering!I35+[4]Marketing!I30+'[4]NA Sales'!I30</f>
        <v>7450</v>
      </c>
      <c r="J55" s="594">
        <f>+[4]Admin!J30+[4]BOO!J30+[4]NA!J30+[4]Engineering!J35+[4]Marketing!J30+'[4]NA Sales'!J30</f>
        <v>9450</v>
      </c>
      <c r="K55" s="594">
        <f>+[4]Admin!K30+[4]BOO!K30+[4]NA!K30+[4]Engineering!K35+[4]Marketing!K30+'[4]NA Sales'!K30</f>
        <v>7450</v>
      </c>
      <c r="L55" s="594">
        <f>+[4]Admin!L30+[4]BOO!L30+[4]NA!L30+[4]Engineering!L35+[4]Marketing!L30+'[4]NA Sales'!L30</f>
        <v>7450</v>
      </c>
      <c r="M55" s="594">
        <f>+[4]Admin!M30+[4]BOO!M30+[4]NA!M30+[4]Engineering!M35+[4]Marketing!M30+'[4]NA Sales'!M30</f>
        <v>9450</v>
      </c>
      <c r="N55" s="594">
        <f>+[4]Admin!N30+[4]BOO!N30+[4]NA!N30+[4]Engineering!N35+[4]Marketing!N30+'[4]NA Sales'!N30</f>
        <v>7450</v>
      </c>
      <c r="O55" s="594">
        <f>+[4]Admin!O30+[4]BOO!O30+[4]NA!O30+[4]Engineering!O35+[4]Marketing!O30+'[4]NA Sales'!O30</f>
        <v>7450</v>
      </c>
      <c r="P55" s="594">
        <f>+[4]Admin!P30+[4]BOO!P30+[4]NA!P30+[4]Engineering!P35+[4]Marketing!P30+'[4]NA Sales'!P30</f>
        <v>9450</v>
      </c>
      <c r="Q55" s="594">
        <f t="shared" ref="Q55:Q60" si="40">SUM(E55:P55)</f>
        <v>94900</v>
      </c>
      <c r="R55" s="594"/>
      <c r="S55" s="594">
        <f t="shared" ref="S55:S60" si="41">SUM(E55:G55)</f>
        <v>21850</v>
      </c>
      <c r="T55" s="594">
        <f t="shared" ref="T55:T60" si="42">SUM(H55:J55)</f>
        <v>24350</v>
      </c>
      <c r="U55" s="594">
        <f t="shared" ref="U55:U60" si="43">SUM(K55:M55)</f>
        <v>24350</v>
      </c>
      <c r="V55" s="594">
        <f t="shared" ref="V55:V60" si="44">SUM(N55:P55)</f>
        <v>24350</v>
      </c>
    </row>
    <row r="56" spans="1:23" ht="12.75">
      <c r="A56" s="595"/>
      <c r="B56" s="591">
        <v>52200</v>
      </c>
      <c r="C56" s="607" t="s">
        <v>469</v>
      </c>
      <c r="D56" s="593">
        <f>+'[5]R&amp;D May Comparison'!B34</f>
        <v>418.16666666666669</v>
      </c>
      <c r="E56" s="594">
        <f>+[4]Admin!E31+[4]BOO!E31+[4]NA!E31+[4]Engineering!E36+[4]Marketing!E31+'[4]NA Sales'!E31</f>
        <v>0</v>
      </c>
      <c r="F56" s="594">
        <f>+[4]Admin!F31+[4]BOO!F31+[4]NA!F31+[4]Engineering!F36+[4]Marketing!F31+'[4]NA Sales'!F31</f>
        <v>0</v>
      </c>
      <c r="G56" s="594">
        <f>+[4]Admin!G31+[4]BOO!G31+[4]NA!G31+[4]Engineering!G36+[4]Marketing!G31+'[4]NA Sales'!G31</f>
        <v>575</v>
      </c>
      <c r="H56" s="594">
        <f>+[4]Admin!H31+[4]BOO!H31+[4]NA!H31+[4]Engineering!H36+[4]Marketing!H31+'[4]NA Sales'!H31</f>
        <v>0</v>
      </c>
      <c r="I56" s="594">
        <f>+[4]Admin!I31+[4]BOO!I31+[4]NA!I31+[4]Engineering!I36+[4]Marketing!I31+'[4]NA Sales'!I31</f>
        <v>0</v>
      </c>
      <c r="J56" s="594">
        <f>+[4]Admin!J31+[4]BOO!J31+[4]NA!J31+[4]Engineering!J36+[4]Marketing!J31+'[4]NA Sales'!J31</f>
        <v>575</v>
      </c>
      <c r="K56" s="594">
        <f>+[4]Admin!K31+[4]BOO!K31+[4]NA!K31+[4]Engineering!K36+[4]Marketing!K31+'[4]NA Sales'!K31</f>
        <v>0</v>
      </c>
      <c r="L56" s="594">
        <f>+[4]Admin!L31+[4]BOO!L31+[4]NA!L31+[4]Engineering!L36+[4]Marketing!L31+'[4]NA Sales'!L31</f>
        <v>0</v>
      </c>
      <c r="M56" s="594">
        <f>+[4]Admin!M31+[4]BOO!M31+[4]NA!M31+[4]Engineering!M36+[4]Marketing!M31+'[4]NA Sales'!M31</f>
        <v>575</v>
      </c>
      <c r="N56" s="594">
        <f>+[4]Admin!N31+[4]BOO!N31+[4]NA!N31+[4]Engineering!N36+[4]Marketing!N31+'[4]NA Sales'!N31</f>
        <v>0</v>
      </c>
      <c r="O56" s="594">
        <f>+[4]Admin!O31+[4]BOO!O31+[4]NA!O31+[4]Engineering!O36+[4]Marketing!O31+'[4]NA Sales'!O31</f>
        <v>0</v>
      </c>
      <c r="P56" s="594">
        <f>+[4]Admin!P31+[4]BOO!P31+[4]NA!P31+[4]Engineering!P36+[4]Marketing!P31+'[4]NA Sales'!P31</f>
        <v>575</v>
      </c>
      <c r="Q56" s="594">
        <f t="shared" si="40"/>
        <v>2300</v>
      </c>
      <c r="R56" s="594"/>
      <c r="S56" s="594">
        <f t="shared" si="41"/>
        <v>575</v>
      </c>
      <c r="T56" s="594">
        <f t="shared" si="42"/>
        <v>575</v>
      </c>
      <c r="U56" s="594">
        <f t="shared" si="43"/>
        <v>575</v>
      </c>
      <c r="V56" s="594">
        <f t="shared" si="44"/>
        <v>575</v>
      </c>
    </row>
    <row r="57" spans="1:23" ht="12.75">
      <c r="A57" s="595"/>
      <c r="B57" s="591">
        <v>53100</v>
      </c>
      <c r="C57" s="607" t="s">
        <v>470</v>
      </c>
      <c r="D57" s="593">
        <f>+'[5]R&amp;D May Comparison'!B35</f>
        <v>48.75</v>
      </c>
      <c r="E57" s="594">
        <f>+[4]Admin!E32+[4]BOO!E32+[4]NA!E32+[4]Engineering!E37+[4]Marketing!E32+'[4]NA Sales'!E32</f>
        <v>0</v>
      </c>
      <c r="F57" s="594">
        <f>+[4]Admin!F32+[4]BOO!F32+[4]NA!F32+[4]Engineering!F37+[4]Marketing!F32+'[4]NA Sales'!F32</f>
        <v>0</v>
      </c>
      <c r="G57" s="594">
        <f>+[4]Admin!G32+[4]BOO!G32+[4]NA!G32+[4]Engineering!G37+[4]Marketing!G32+'[4]NA Sales'!G32</f>
        <v>240</v>
      </c>
      <c r="H57" s="594">
        <f>+[4]Admin!H32+[4]BOO!H32+[4]NA!H32+[4]Engineering!H37+[4]Marketing!H32+'[4]NA Sales'!H32</f>
        <v>0</v>
      </c>
      <c r="I57" s="594">
        <f>+[4]Admin!I32+[4]BOO!I32+[4]NA!I32+[4]Engineering!I37+[4]Marketing!I32+'[4]NA Sales'!I32</f>
        <v>0</v>
      </c>
      <c r="J57" s="594">
        <f>+[4]Admin!J32+[4]BOO!J32+[4]NA!J32+[4]Engineering!J37+[4]Marketing!J32+'[4]NA Sales'!J32</f>
        <v>240</v>
      </c>
      <c r="K57" s="594">
        <f>+[4]Admin!K32+[4]BOO!K32+[4]NA!K32+[4]Engineering!K37+[4]Marketing!K32+'[4]NA Sales'!K32</f>
        <v>0</v>
      </c>
      <c r="L57" s="594">
        <f>+[4]Admin!L32+[4]BOO!L32+[4]NA!L32+[4]Engineering!L37+[4]Marketing!L32+'[4]NA Sales'!L32</f>
        <v>0</v>
      </c>
      <c r="M57" s="594">
        <f>+[4]Admin!M32+[4]BOO!M32+[4]NA!M32+[4]Engineering!M37+[4]Marketing!M32+'[4]NA Sales'!M32</f>
        <v>240</v>
      </c>
      <c r="N57" s="594">
        <f>+[4]Admin!N32+[4]BOO!N32+[4]NA!N32+[4]Engineering!N37+[4]Marketing!N32+'[4]NA Sales'!N32</f>
        <v>0</v>
      </c>
      <c r="O57" s="594">
        <f>+[4]Admin!O32+[4]BOO!O32+[4]NA!O32+[4]Engineering!O37+[4]Marketing!O32+'[4]NA Sales'!O32</f>
        <v>0</v>
      </c>
      <c r="P57" s="594">
        <f>+[4]Admin!P32+[4]BOO!P32+[4]NA!P32+[4]Engineering!P37+[4]Marketing!P32+'[4]NA Sales'!P32</f>
        <v>240</v>
      </c>
      <c r="Q57" s="594">
        <f t="shared" si="40"/>
        <v>960</v>
      </c>
      <c r="R57" s="594"/>
      <c r="S57" s="594">
        <f t="shared" si="41"/>
        <v>240</v>
      </c>
      <c r="T57" s="594">
        <f t="shared" si="42"/>
        <v>240</v>
      </c>
      <c r="U57" s="594">
        <f t="shared" si="43"/>
        <v>240</v>
      </c>
      <c r="V57" s="594">
        <f t="shared" si="44"/>
        <v>240</v>
      </c>
    </row>
    <row r="58" spans="1:23" ht="12.75">
      <c r="A58" s="595"/>
      <c r="B58" s="591">
        <v>53800</v>
      </c>
      <c r="C58" s="607" t="s">
        <v>471</v>
      </c>
      <c r="D58" s="593">
        <v>0</v>
      </c>
      <c r="E58" s="594">
        <f>+[4]Admin!E33+[4]BOO!E33+[4]NA!E33+[4]Engineering!E38+[4]Marketing!E33+'[4]NA Sales'!E33</f>
        <v>0</v>
      </c>
      <c r="F58" s="594">
        <f>+[4]Admin!F33+[4]BOO!F33+[4]NA!F33+[4]Engineering!F38+[4]Marketing!F33+'[4]NA Sales'!F33</f>
        <v>1000</v>
      </c>
      <c r="G58" s="594">
        <f>+[4]Admin!G33+[4]BOO!G33+[4]NA!G33+[4]Engineering!G38+[4]Marketing!G33+'[4]NA Sales'!G33</f>
        <v>0</v>
      </c>
      <c r="H58" s="594">
        <f>+[4]Admin!H33+[4]BOO!H33+[4]NA!H33+[4]Engineering!H38+[4]Marketing!H33+'[4]NA Sales'!H33</f>
        <v>0</v>
      </c>
      <c r="I58" s="594">
        <f>+[4]Admin!I33+[4]BOO!I33+[4]NA!I33+[4]Engineering!I38+[4]Marketing!I33+'[4]NA Sales'!I33</f>
        <v>1000</v>
      </c>
      <c r="J58" s="594">
        <f>+[4]Admin!J33+[4]BOO!J33+[4]NA!J33+[4]Engineering!J38+[4]Marketing!J33+'[4]NA Sales'!J33</f>
        <v>0</v>
      </c>
      <c r="K58" s="594">
        <f>+[4]Admin!K33+[4]BOO!K33+[4]NA!K33+[4]Engineering!K38+[4]Marketing!K33+'[4]NA Sales'!K33</f>
        <v>0</v>
      </c>
      <c r="L58" s="594">
        <f>+[4]Admin!L33+[4]BOO!L33+[4]NA!L33+[4]Engineering!L38+[4]Marketing!L33+'[4]NA Sales'!L33</f>
        <v>1000</v>
      </c>
      <c r="M58" s="594">
        <f>+[4]Admin!M33+[4]BOO!M33+[4]NA!M33+[4]Engineering!M38+[4]Marketing!M33+'[4]NA Sales'!M33</f>
        <v>0</v>
      </c>
      <c r="N58" s="594">
        <f>+[4]Admin!N33+[4]BOO!N33+[4]NA!N33+[4]Engineering!N38+[4]Marketing!N33+'[4]NA Sales'!N33</f>
        <v>0</v>
      </c>
      <c r="O58" s="594">
        <f>+[4]Admin!O33+[4]BOO!O33+[4]NA!O33+[4]Engineering!O38+[4]Marketing!O33+'[4]NA Sales'!O33</f>
        <v>1000</v>
      </c>
      <c r="P58" s="594">
        <f>+[4]Admin!P33+[4]BOO!P33+[4]NA!P33+[4]Engineering!P38+[4]Marketing!P33+'[4]NA Sales'!P33</f>
        <v>0</v>
      </c>
      <c r="Q58" s="594">
        <f t="shared" si="40"/>
        <v>4000</v>
      </c>
      <c r="R58" s="594"/>
      <c r="S58" s="594">
        <f t="shared" si="41"/>
        <v>1000</v>
      </c>
      <c r="T58" s="594">
        <f t="shared" si="42"/>
        <v>1000</v>
      </c>
      <c r="U58" s="594">
        <f t="shared" si="43"/>
        <v>1000</v>
      </c>
      <c r="V58" s="594">
        <f t="shared" si="44"/>
        <v>1000</v>
      </c>
    </row>
    <row r="59" spans="1:23" ht="12.75">
      <c r="A59" s="595"/>
      <c r="B59" s="591">
        <v>54100</v>
      </c>
      <c r="C59" s="607" t="s">
        <v>472</v>
      </c>
      <c r="D59" s="593">
        <f>+'[5]R&amp;D May Comparison'!B36</f>
        <v>106.33333333333333</v>
      </c>
      <c r="E59" s="594">
        <f>+[4]Admin!E34+[4]BOO!E34+[4]NA!E34+[4]Engineering!E39+[4]Marketing!E34+'[4]NA Sales'!E34</f>
        <v>0</v>
      </c>
      <c r="F59" s="594">
        <f>+[4]Admin!F34+[4]BOO!F34+[4]NA!F34+[4]Engineering!F39+[4]Marketing!F34+'[4]NA Sales'!F34</f>
        <v>0</v>
      </c>
      <c r="G59" s="594">
        <f>+[4]Admin!G34+[4]BOO!G34+[4]NA!G34+[4]Engineering!G39+[4]Marketing!G34+'[4]NA Sales'!G34</f>
        <v>225</v>
      </c>
      <c r="H59" s="594">
        <f>+[4]Admin!H34+[4]BOO!H34+[4]NA!H34+[4]Engineering!H39+[4]Marketing!H34+'[4]NA Sales'!H34</f>
        <v>0</v>
      </c>
      <c r="I59" s="594">
        <f>+[4]Admin!I34+[4]BOO!I34+[4]NA!I34+[4]Engineering!I39+[4]Marketing!I34+'[4]NA Sales'!I34</f>
        <v>0</v>
      </c>
      <c r="J59" s="594">
        <f>+[4]Admin!J34+[4]BOO!J34+[4]NA!J34+[4]Engineering!J39+[4]Marketing!J34+'[4]NA Sales'!J34</f>
        <v>225</v>
      </c>
      <c r="K59" s="594">
        <f>+[4]Admin!K34+[4]BOO!K34+[4]NA!K34+[4]Engineering!K39+[4]Marketing!K34+'[4]NA Sales'!K34</f>
        <v>0</v>
      </c>
      <c r="L59" s="594">
        <f>+[4]Admin!L34+[4]BOO!L34+[4]NA!L34+[4]Engineering!L39+[4]Marketing!L34+'[4]NA Sales'!L34</f>
        <v>0</v>
      </c>
      <c r="M59" s="594">
        <f>+[4]Admin!M34+[4]BOO!M34+[4]NA!M34+[4]Engineering!M39+[4]Marketing!M34+'[4]NA Sales'!M34</f>
        <v>225</v>
      </c>
      <c r="N59" s="594">
        <f>+[4]Admin!N34+[4]BOO!N34+[4]NA!N34+[4]Engineering!N39+[4]Marketing!N34+'[4]NA Sales'!N34</f>
        <v>0</v>
      </c>
      <c r="O59" s="594">
        <f>+[4]Admin!O34+[4]BOO!O34+[4]NA!O34+[4]Engineering!O39+[4]Marketing!O34+'[4]NA Sales'!O34</f>
        <v>0</v>
      </c>
      <c r="P59" s="594">
        <f>+[4]Admin!P34+[4]BOO!P34+[4]NA!P34+[4]Engineering!P39+[4]Marketing!P34+'[4]NA Sales'!P34</f>
        <v>225</v>
      </c>
      <c r="Q59" s="594">
        <f t="shared" si="40"/>
        <v>900</v>
      </c>
      <c r="R59" s="594"/>
      <c r="S59" s="594">
        <f t="shared" si="41"/>
        <v>225</v>
      </c>
      <c r="T59" s="594">
        <f t="shared" si="42"/>
        <v>225</v>
      </c>
      <c r="U59" s="594">
        <f t="shared" si="43"/>
        <v>225</v>
      </c>
      <c r="V59" s="594">
        <f t="shared" si="44"/>
        <v>225</v>
      </c>
    </row>
    <row r="60" spans="1:23" ht="12.75">
      <c r="A60" s="595"/>
      <c r="B60" s="591"/>
      <c r="C60" s="607" t="s">
        <v>473</v>
      </c>
      <c r="D60" s="594">
        <f t="shared" ref="D60:P60" si="45">SUM(D55:D59)</f>
        <v>966.16666666666674</v>
      </c>
      <c r="E60" s="594">
        <f t="shared" si="45"/>
        <v>4950</v>
      </c>
      <c r="F60" s="594">
        <f t="shared" si="45"/>
        <v>8450</v>
      </c>
      <c r="G60" s="594">
        <f t="shared" si="45"/>
        <v>10490</v>
      </c>
      <c r="H60" s="594">
        <f t="shared" si="45"/>
        <v>7450</v>
      </c>
      <c r="I60" s="594">
        <f t="shared" si="45"/>
        <v>8450</v>
      </c>
      <c r="J60" s="594">
        <f t="shared" si="45"/>
        <v>10490</v>
      </c>
      <c r="K60" s="594">
        <f t="shared" si="45"/>
        <v>7450</v>
      </c>
      <c r="L60" s="594">
        <f t="shared" si="45"/>
        <v>8450</v>
      </c>
      <c r="M60" s="594">
        <f t="shared" si="45"/>
        <v>10490</v>
      </c>
      <c r="N60" s="594">
        <f t="shared" si="45"/>
        <v>7450</v>
      </c>
      <c r="O60" s="594">
        <f t="shared" si="45"/>
        <v>8450</v>
      </c>
      <c r="P60" s="594">
        <f t="shared" si="45"/>
        <v>10490</v>
      </c>
      <c r="Q60" s="594">
        <f t="shared" si="40"/>
        <v>103060</v>
      </c>
      <c r="R60" s="594"/>
      <c r="S60" s="594">
        <f t="shared" si="41"/>
        <v>23890</v>
      </c>
      <c r="T60" s="594">
        <f t="shared" si="42"/>
        <v>26390</v>
      </c>
      <c r="U60" s="594">
        <f t="shared" si="43"/>
        <v>26390</v>
      </c>
      <c r="V60" s="594">
        <f t="shared" si="44"/>
        <v>26390</v>
      </c>
      <c r="W60" s="594"/>
    </row>
    <row r="61" spans="1:23" ht="12.75">
      <c r="A61" s="595"/>
      <c r="B61" s="591"/>
      <c r="C61" s="607"/>
      <c r="D61" s="594"/>
      <c r="E61" s="594"/>
      <c r="F61" s="594"/>
      <c r="G61" s="594"/>
      <c r="H61" s="594"/>
      <c r="I61" s="594"/>
      <c r="J61" s="594"/>
      <c r="K61" s="594"/>
      <c r="L61" s="594"/>
      <c r="M61" s="594"/>
      <c r="N61" s="594"/>
      <c r="O61" s="594"/>
      <c r="P61" s="594"/>
      <c r="Q61" s="594"/>
      <c r="R61" s="594"/>
      <c r="S61" s="594"/>
      <c r="T61" s="594"/>
      <c r="U61" s="594"/>
      <c r="V61" s="594"/>
    </row>
    <row r="62" spans="1:23" ht="12.75">
      <c r="A62" s="595"/>
      <c r="B62" s="591">
        <v>56100</v>
      </c>
      <c r="C62" s="596" t="s">
        <v>474</v>
      </c>
      <c r="D62" s="594">
        <f>+'[5]R&amp;D May Comparison'!B40</f>
        <v>5231.166666666667</v>
      </c>
      <c r="E62" s="594">
        <f>+[4]Admin!E37+[4]BOO!E37+[4]NA!E37+[4]Engineering!E42+[4]Marketing!E37+'[4]NA Sales'!E37</f>
        <v>9659.92</v>
      </c>
      <c r="F62" s="594">
        <f>+[4]Admin!F37+[4]BOO!F37+[4]NA!F37+[4]Engineering!F42+[4]Marketing!F37+'[4]NA Sales'!F37</f>
        <v>9659.92</v>
      </c>
      <c r="G62" s="594">
        <f>+[4]Admin!G37+[4]BOO!G37+[4]NA!G37+[4]Engineering!G42+[4]Marketing!G37+'[4]NA Sales'!G37</f>
        <v>9659.92</v>
      </c>
      <c r="H62" s="594">
        <f>+[4]Admin!H37+[4]BOO!H37+[4]NA!H37+[4]Engineering!H42+[4]Marketing!H37+'[4]NA Sales'!H37</f>
        <v>9659.92</v>
      </c>
      <c r="I62" s="594">
        <f>+[4]Admin!I37+[4]BOO!I37+[4]NA!I37+[4]Engineering!I42+[4]Marketing!I37+'[4]NA Sales'!I37</f>
        <v>9659.92</v>
      </c>
      <c r="J62" s="594">
        <f>+[4]Admin!J37+[4]BOO!J37+[4]NA!J37+[4]Engineering!J42+[4]Marketing!J37+'[4]NA Sales'!J37</f>
        <v>9659.92</v>
      </c>
      <c r="K62" s="594">
        <f>+[4]Admin!K37+[4]BOO!K37+[4]NA!K37+[4]Engineering!K42+[4]Marketing!K37+'[4]NA Sales'!K37</f>
        <v>9659.92</v>
      </c>
      <c r="L62" s="594">
        <f>+[4]Admin!L37+[4]BOO!L37+[4]NA!L37+[4]Engineering!L42+[4]Marketing!L37+'[4]NA Sales'!L37</f>
        <v>9659.92</v>
      </c>
      <c r="M62" s="594">
        <f>+[4]Admin!M37+[4]BOO!M37+[4]NA!M37+[4]Engineering!M42+[4]Marketing!M37+'[4]NA Sales'!M37</f>
        <v>9628.8745098039217</v>
      </c>
      <c r="N62" s="594">
        <f>+[4]Admin!N37+[4]BOO!N37+[4]NA!N37+[4]Engineering!N42+[4]Marketing!N37+'[4]NA Sales'!N37</f>
        <v>9628.8745098039217</v>
      </c>
      <c r="O62" s="594">
        <f>+[4]Admin!O37+[4]BOO!O37+[4]NA!O37+[4]Engineering!O42+[4]Marketing!O37+'[4]NA Sales'!O37</f>
        <v>9955.3839869281055</v>
      </c>
      <c r="P62" s="594">
        <f>+[4]Admin!P37+[4]BOO!P37+[4]NA!P37+[4]Engineering!P42+[4]Marketing!P37+'[4]NA Sales'!P37</f>
        <v>9955.3839869281055</v>
      </c>
      <c r="Q62" s="594">
        <f t="shared" ref="Q62:Q68" si="46">SUM(E62:P62)</f>
        <v>116447.87699346406</v>
      </c>
      <c r="R62" s="594"/>
      <c r="S62" s="594">
        <f t="shared" ref="S62:S68" si="47">SUM(E62:G62)</f>
        <v>28979.760000000002</v>
      </c>
      <c r="T62" s="594">
        <f t="shared" ref="T62:T68" si="48">SUM(H62:J62)</f>
        <v>28979.760000000002</v>
      </c>
      <c r="U62" s="594">
        <f t="shared" ref="U62:U68" si="49">SUM(K62:M62)</f>
        <v>28948.714509803922</v>
      </c>
      <c r="V62" s="594">
        <f t="shared" ref="V62:V68" si="50">SUM(N62:P62)</f>
        <v>29539.642483660136</v>
      </c>
    </row>
    <row r="63" spans="1:23" ht="12.75">
      <c r="A63" s="595"/>
      <c r="B63" s="591">
        <v>58200</v>
      </c>
      <c r="C63" s="596" t="s">
        <v>475</v>
      </c>
      <c r="D63" s="594">
        <f>+'[5]R&amp;D May Comparison'!B41</f>
        <v>613.75</v>
      </c>
      <c r="E63" s="594">
        <f>+[4]Admin!E38+[4]BOO!E38+[4]NA!E38+[4]Engineering!E43+[4]Marketing!E38+'[4]NA Sales'!E38</f>
        <v>515</v>
      </c>
      <c r="F63" s="594">
        <f>+[4]Admin!F38+[4]BOO!F38+[4]NA!F38+[4]Engineering!F43+[4]Marketing!F38+'[4]NA Sales'!F38</f>
        <v>455</v>
      </c>
      <c r="G63" s="594">
        <f>+[4]Admin!G38+[4]BOO!G38+[4]NA!G38+[4]Engineering!G43+[4]Marketing!G38+'[4]NA Sales'!G38</f>
        <v>455</v>
      </c>
      <c r="H63" s="594">
        <f>+[4]Admin!H38+[4]BOO!H38+[4]NA!H38+[4]Engineering!H43+[4]Marketing!H38+'[4]NA Sales'!H38</f>
        <v>455</v>
      </c>
      <c r="I63" s="594">
        <f>+[4]Admin!I38+[4]BOO!I38+[4]NA!I38+[4]Engineering!I43+[4]Marketing!I38+'[4]NA Sales'!I38</f>
        <v>455</v>
      </c>
      <c r="J63" s="594">
        <f>+[4]Admin!J38+[4]BOO!J38+[4]NA!J38+[4]Engineering!J43+[4]Marketing!J38+'[4]NA Sales'!J38</f>
        <v>455</v>
      </c>
      <c r="K63" s="594">
        <f>+[4]Admin!K38+[4]BOO!K38+[4]NA!K38+[4]Engineering!K43+[4]Marketing!K38+'[4]NA Sales'!K38</f>
        <v>455</v>
      </c>
      <c r="L63" s="594">
        <f>+[4]Admin!L38+[4]BOO!L38+[4]NA!L38+[4]Engineering!L43+[4]Marketing!L38+'[4]NA Sales'!L38</f>
        <v>455</v>
      </c>
      <c r="M63" s="594">
        <f>+[4]Admin!M38+[4]BOO!M38+[4]NA!M38+[4]Engineering!M43+[4]Marketing!M38+'[4]NA Sales'!M38</f>
        <v>455</v>
      </c>
      <c r="N63" s="594">
        <f>+[4]Admin!N38+[4]BOO!N38+[4]NA!N38+[4]Engineering!N43+[4]Marketing!N38+'[4]NA Sales'!N38</f>
        <v>455</v>
      </c>
      <c r="O63" s="594">
        <f>+[4]Admin!O38+[4]BOO!O38+[4]NA!O38+[4]Engineering!O43+[4]Marketing!O38+'[4]NA Sales'!O38</f>
        <v>455</v>
      </c>
      <c r="P63" s="594">
        <f>+[4]Admin!P38+[4]BOO!P38+[4]NA!P38+[4]Engineering!P43+[4]Marketing!P38+'[4]NA Sales'!P38</f>
        <v>455</v>
      </c>
      <c r="Q63" s="594">
        <f t="shared" si="46"/>
        <v>5520</v>
      </c>
      <c r="R63" s="594"/>
      <c r="S63" s="594">
        <f t="shared" si="47"/>
        <v>1425</v>
      </c>
      <c r="T63" s="594">
        <f t="shared" si="48"/>
        <v>1365</v>
      </c>
      <c r="U63" s="594">
        <f t="shared" si="49"/>
        <v>1365</v>
      </c>
      <c r="V63" s="594">
        <f t="shared" si="50"/>
        <v>1365</v>
      </c>
    </row>
    <row r="64" spans="1:23" ht="12.75">
      <c r="A64" s="595"/>
      <c r="B64" s="591">
        <v>58250</v>
      </c>
      <c r="C64" s="596" t="s">
        <v>476</v>
      </c>
      <c r="D64" s="594">
        <v>0</v>
      </c>
      <c r="E64" s="594">
        <f>+[4]Admin!E39+[4]BOO!E39+[4]NA!E39+[4]Engineering!E44+[4]Marketing!E39+'[4]NA Sales'!E39</f>
        <v>340</v>
      </c>
      <c r="F64" s="594">
        <f>+[4]Admin!F39+[4]BOO!F39+[4]NA!F39+[4]Engineering!F44+[4]Marketing!F39+'[4]NA Sales'!F39</f>
        <v>340</v>
      </c>
      <c r="G64" s="594">
        <f>+[4]Admin!G39+[4]BOO!G39+[4]NA!G39+[4]Engineering!G44+[4]Marketing!G39+'[4]NA Sales'!G39</f>
        <v>340</v>
      </c>
      <c r="H64" s="594">
        <f>+[4]Admin!H39+[4]BOO!H39+[4]NA!H39+[4]Engineering!H44+[4]Marketing!H39+'[4]NA Sales'!H39</f>
        <v>340</v>
      </c>
      <c r="I64" s="594">
        <f>+[4]Admin!I39+[4]BOO!I39+[4]NA!I39+[4]Engineering!I44+[4]Marketing!I39+'[4]NA Sales'!I39</f>
        <v>340</v>
      </c>
      <c r="J64" s="594">
        <f>+[4]Admin!J39+[4]BOO!J39+[4]NA!J39+[4]Engineering!J44+[4]Marketing!J39+'[4]NA Sales'!J39</f>
        <v>340</v>
      </c>
      <c r="K64" s="594">
        <f>+[4]Admin!K39+[4]BOO!K39+[4]NA!K39+[4]Engineering!K44+[4]Marketing!K39+'[4]NA Sales'!K39</f>
        <v>340</v>
      </c>
      <c r="L64" s="594">
        <f>+[4]Admin!L39+[4]BOO!L39+[4]NA!L39+[4]Engineering!L44+[4]Marketing!L39+'[4]NA Sales'!L39</f>
        <v>340</v>
      </c>
      <c r="M64" s="594">
        <f>+[4]Admin!M39+[4]BOO!M39+[4]NA!M39+[4]Engineering!M44+[4]Marketing!M39+'[4]NA Sales'!M39</f>
        <v>340</v>
      </c>
      <c r="N64" s="594">
        <f>+[4]Admin!N39+[4]BOO!N39+[4]NA!N39+[4]Engineering!N44+[4]Marketing!N39+'[4]NA Sales'!N39</f>
        <v>340</v>
      </c>
      <c r="O64" s="594">
        <f>+[4]Admin!O39+[4]BOO!O39+[4]NA!O39+[4]Engineering!O44+[4]Marketing!O39+'[4]NA Sales'!O39</f>
        <v>340</v>
      </c>
      <c r="P64" s="594">
        <f>+[4]Admin!P39+[4]BOO!P39+[4]NA!P39+[4]Engineering!P44+[4]Marketing!P39+'[4]NA Sales'!P39</f>
        <v>340</v>
      </c>
      <c r="Q64" s="594">
        <f t="shared" si="46"/>
        <v>4080</v>
      </c>
      <c r="R64" s="594"/>
      <c r="S64" s="594">
        <f t="shared" si="47"/>
        <v>1020</v>
      </c>
      <c r="T64" s="594">
        <f t="shared" si="48"/>
        <v>1020</v>
      </c>
      <c r="U64" s="594">
        <f t="shared" si="49"/>
        <v>1020</v>
      </c>
      <c r="V64" s="594">
        <f t="shared" si="50"/>
        <v>1020</v>
      </c>
    </row>
    <row r="65" spans="1:23" ht="12.75">
      <c r="A65" s="595"/>
      <c r="B65" s="591">
        <v>58500</v>
      </c>
      <c r="C65" s="596" t="s">
        <v>477</v>
      </c>
      <c r="D65" s="594">
        <f>+'[5]R&amp;D May Comparison'!B42</f>
        <v>865.41666666666663</v>
      </c>
      <c r="E65" s="594">
        <f>+[4]Admin!E40+[4]BOO!E40+[4]NA!E40+[4]Engineering!E45+[4]Marketing!E40+'[4]NA Sales'!E40</f>
        <v>3088</v>
      </c>
      <c r="F65" s="594">
        <f>+[4]Admin!F40+[4]BOO!F40+[4]NA!F40+[4]Engineering!F45+[4]Marketing!F40+'[4]NA Sales'!F40</f>
        <v>2676</v>
      </c>
      <c r="G65" s="594">
        <f>+[4]Admin!G40+[4]BOO!G40+[4]NA!G40+[4]Engineering!G45+[4]Marketing!G40+'[4]NA Sales'!G40</f>
        <v>2676</v>
      </c>
      <c r="H65" s="594">
        <f>+[4]Admin!H40+[4]BOO!H40+[4]NA!H40+[4]Engineering!H45+[4]Marketing!H40+'[4]NA Sales'!H40</f>
        <v>2676</v>
      </c>
      <c r="I65" s="594">
        <f>+[4]Admin!I40+[4]BOO!I40+[4]NA!I40+[4]Engineering!I45+[4]Marketing!I40+'[4]NA Sales'!I40</f>
        <v>2676</v>
      </c>
      <c r="J65" s="594">
        <f>+[4]Admin!J40+[4]BOO!J40+[4]NA!J40+[4]Engineering!J45+[4]Marketing!J40+'[4]NA Sales'!J40</f>
        <v>2676</v>
      </c>
      <c r="K65" s="594">
        <f>+[4]Admin!K40+[4]BOO!K40+[4]NA!K40+[4]Engineering!K45+[4]Marketing!K40+'[4]NA Sales'!K40</f>
        <v>2676</v>
      </c>
      <c r="L65" s="594">
        <f>+[4]Admin!L40+[4]BOO!L40+[4]NA!L40+[4]Engineering!L45+[4]Marketing!L40+'[4]NA Sales'!L40</f>
        <v>2676</v>
      </c>
      <c r="M65" s="594">
        <f>+[4]Admin!M40+[4]BOO!M40+[4]NA!M40+[4]Engineering!M45+[4]Marketing!M40+'[4]NA Sales'!M40</f>
        <v>2676</v>
      </c>
      <c r="N65" s="594">
        <f>+[4]Admin!N40+[4]BOO!N40+[4]NA!N40+[4]Engineering!N45+[4]Marketing!N40+'[4]NA Sales'!N40</f>
        <v>2676</v>
      </c>
      <c r="O65" s="594">
        <f>+[4]Admin!O40+[4]BOO!O40+[4]NA!O40+[4]Engineering!O45+[4]Marketing!O40+'[4]NA Sales'!O40</f>
        <v>2676</v>
      </c>
      <c r="P65" s="594">
        <f>+[4]Admin!P40+[4]BOO!P40+[4]NA!P40+[4]Engineering!P45+[4]Marketing!P40+'[4]NA Sales'!P40</f>
        <v>2676</v>
      </c>
      <c r="Q65" s="594">
        <f t="shared" si="46"/>
        <v>32524</v>
      </c>
      <c r="R65" s="594"/>
      <c r="S65" s="594">
        <f t="shared" si="47"/>
        <v>8440</v>
      </c>
      <c r="T65" s="594">
        <f t="shared" si="48"/>
        <v>8028</v>
      </c>
      <c r="U65" s="594">
        <f t="shared" si="49"/>
        <v>8028</v>
      </c>
      <c r="V65" s="594">
        <f t="shared" si="50"/>
        <v>8028</v>
      </c>
    </row>
    <row r="66" spans="1:23" ht="12.75">
      <c r="A66" s="595"/>
      <c r="B66" s="591">
        <v>59600</v>
      </c>
      <c r="C66" s="596" t="s">
        <v>478</v>
      </c>
      <c r="D66" s="594">
        <f>+'[5]R&amp;D May Comparison'!B43</f>
        <v>17.833333333333332</v>
      </c>
      <c r="E66" s="594">
        <f>+[4]Admin!E41+[4]BOO!E41+[4]NA!E41+[4]Engineering!E46+[4]Marketing!E41+'[4]NA Sales'!E41</f>
        <v>330</v>
      </c>
      <c r="F66" s="594">
        <f>+[4]Admin!F41+[4]BOO!F41+[4]NA!F41+[4]Engineering!F46+[4]Marketing!F41+'[4]NA Sales'!F41</f>
        <v>330</v>
      </c>
      <c r="G66" s="594">
        <f>+[4]Admin!G41+[4]BOO!G41+[4]NA!G41+[4]Engineering!G46+[4]Marketing!G41+'[4]NA Sales'!G41</f>
        <v>330</v>
      </c>
      <c r="H66" s="594">
        <f>+[4]Admin!H41+[4]BOO!H41+[4]NA!H41+[4]Engineering!H46+[4]Marketing!H41+'[4]NA Sales'!H41</f>
        <v>330</v>
      </c>
      <c r="I66" s="594">
        <f>+[4]Admin!I41+[4]BOO!I41+[4]NA!I41+[4]Engineering!I46+[4]Marketing!I41+'[4]NA Sales'!I41</f>
        <v>330</v>
      </c>
      <c r="J66" s="594">
        <f>+[4]Admin!J41+[4]BOO!J41+[4]NA!J41+[4]Engineering!J46+[4]Marketing!J41+'[4]NA Sales'!J41</f>
        <v>330</v>
      </c>
      <c r="K66" s="594">
        <f>+[4]Admin!K41+[4]BOO!K41+[4]NA!K41+[4]Engineering!K46+[4]Marketing!K41+'[4]NA Sales'!K41</f>
        <v>330</v>
      </c>
      <c r="L66" s="594">
        <f>+[4]Admin!L41+[4]BOO!L41+[4]NA!L41+[4]Engineering!L46+[4]Marketing!L41+'[4]NA Sales'!L41</f>
        <v>330</v>
      </c>
      <c r="M66" s="594">
        <f>+[4]Admin!M41+[4]BOO!M41+[4]NA!M41+[4]Engineering!M46+[4]Marketing!M41+'[4]NA Sales'!M41</f>
        <v>330</v>
      </c>
      <c r="N66" s="594">
        <f>+[4]Admin!N41+[4]BOO!N41+[4]NA!N41+[4]Engineering!N46+[4]Marketing!N41+'[4]NA Sales'!N41</f>
        <v>330</v>
      </c>
      <c r="O66" s="594">
        <f>+[4]Admin!O41+[4]BOO!O41+[4]NA!O41+[4]Engineering!O46+[4]Marketing!O41+'[4]NA Sales'!O41</f>
        <v>330</v>
      </c>
      <c r="P66" s="594">
        <f>+[4]Admin!P41+[4]BOO!P41+[4]NA!P41+[4]Engineering!P46+[4]Marketing!P41+'[4]NA Sales'!P41</f>
        <v>330</v>
      </c>
      <c r="Q66" s="594">
        <f t="shared" si="46"/>
        <v>3960</v>
      </c>
      <c r="R66" s="594"/>
      <c r="S66" s="594">
        <f t="shared" si="47"/>
        <v>990</v>
      </c>
      <c r="T66" s="594">
        <f t="shared" si="48"/>
        <v>990</v>
      </c>
      <c r="U66" s="594">
        <f t="shared" si="49"/>
        <v>990</v>
      </c>
      <c r="V66" s="594">
        <f t="shared" si="50"/>
        <v>990</v>
      </c>
    </row>
    <row r="67" spans="1:23" ht="12.75">
      <c r="A67" s="595"/>
      <c r="B67" s="591">
        <v>60100</v>
      </c>
      <c r="C67" s="596" t="s">
        <v>479</v>
      </c>
      <c r="D67" s="594">
        <v>0</v>
      </c>
      <c r="E67" s="594">
        <f>+[4]Admin!E42+[4]BOO!E42+[4]NA!E42+[4]Engineering!E47+[4]Marketing!E42+'[4]NA Sales'!E42</f>
        <v>0</v>
      </c>
      <c r="F67" s="594">
        <f>+[4]Admin!F42+[4]BOO!F42+[4]NA!F42+[4]Engineering!F47+[4]Marketing!F42+'[4]NA Sales'!F42</f>
        <v>0</v>
      </c>
      <c r="G67" s="594">
        <f>+[4]Admin!G42+[4]BOO!G42+[4]NA!G42+[4]Engineering!G47+[4]Marketing!G42+'[4]NA Sales'!G42</f>
        <v>0</v>
      </c>
      <c r="H67" s="594">
        <f>+[4]Admin!H42+[4]BOO!H42+[4]NA!H42+[4]Engineering!H47+[4]Marketing!H42+'[4]NA Sales'!H42</f>
        <v>0</v>
      </c>
      <c r="I67" s="594">
        <f>+[4]Admin!I42+[4]BOO!I42+[4]NA!I42+[4]Engineering!I47+[4]Marketing!I42+'[4]NA Sales'!I42</f>
        <v>0</v>
      </c>
      <c r="J67" s="594">
        <f>+[4]Admin!J42+[4]BOO!J42+[4]NA!J42+[4]Engineering!J47+[4]Marketing!J42+'[4]NA Sales'!J42</f>
        <v>0</v>
      </c>
      <c r="K67" s="594">
        <f>+[4]Admin!K42+[4]BOO!K42+[4]NA!K42+[4]Engineering!K47+[4]Marketing!K42+'[4]NA Sales'!K42</f>
        <v>0</v>
      </c>
      <c r="L67" s="594">
        <f>+[4]Admin!L42+[4]BOO!L42+[4]NA!L42+[4]Engineering!L47+[4]Marketing!L42+'[4]NA Sales'!L42</f>
        <v>0</v>
      </c>
      <c r="M67" s="594">
        <f>+[4]Admin!M42+[4]BOO!M42+[4]NA!M42+[4]Engineering!M47+[4]Marketing!M42+'[4]NA Sales'!M42</f>
        <v>0</v>
      </c>
      <c r="N67" s="594">
        <f>+[4]Admin!N42+[4]BOO!N42+[4]NA!N42+[4]Engineering!N47+[4]Marketing!N42+'[4]NA Sales'!N42</f>
        <v>0</v>
      </c>
      <c r="O67" s="594">
        <f>+[4]Admin!O42+[4]BOO!O42+[4]NA!O42+[4]Engineering!O47+[4]Marketing!O42+'[4]NA Sales'!O42</f>
        <v>0</v>
      </c>
      <c r="P67" s="594">
        <f>+[4]Admin!P42+[4]BOO!P42+[4]NA!P42+[4]Engineering!P47+[4]Marketing!P42+'[4]NA Sales'!P42</f>
        <v>0</v>
      </c>
      <c r="Q67" s="594">
        <f t="shared" si="46"/>
        <v>0</v>
      </c>
      <c r="R67" s="594"/>
      <c r="S67" s="594">
        <f t="shared" si="47"/>
        <v>0</v>
      </c>
      <c r="T67" s="594">
        <f t="shared" si="48"/>
        <v>0</v>
      </c>
      <c r="U67" s="594">
        <f t="shared" si="49"/>
        <v>0</v>
      </c>
      <c r="V67" s="594">
        <f t="shared" si="50"/>
        <v>0</v>
      </c>
    </row>
    <row r="68" spans="1:23" ht="12.75">
      <c r="A68" s="595"/>
      <c r="B68" s="591"/>
      <c r="C68" s="596" t="s">
        <v>480</v>
      </c>
      <c r="D68" s="594">
        <f t="shared" ref="D68:P68" si="51">SUM(D62:D67)</f>
        <v>6728.166666666667</v>
      </c>
      <c r="E68" s="594">
        <f t="shared" si="51"/>
        <v>13932.92</v>
      </c>
      <c r="F68" s="594">
        <f t="shared" si="51"/>
        <v>13460.92</v>
      </c>
      <c r="G68" s="594">
        <f t="shared" si="51"/>
        <v>13460.92</v>
      </c>
      <c r="H68" s="594">
        <f t="shared" si="51"/>
        <v>13460.92</v>
      </c>
      <c r="I68" s="594">
        <f t="shared" si="51"/>
        <v>13460.92</v>
      </c>
      <c r="J68" s="594">
        <f t="shared" si="51"/>
        <v>13460.92</v>
      </c>
      <c r="K68" s="594">
        <f t="shared" si="51"/>
        <v>13460.92</v>
      </c>
      <c r="L68" s="594">
        <f t="shared" si="51"/>
        <v>13460.92</v>
      </c>
      <c r="M68" s="594">
        <f t="shared" si="51"/>
        <v>13429.874509803922</v>
      </c>
      <c r="N68" s="594">
        <f t="shared" si="51"/>
        <v>13429.874509803922</v>
      </c>
      <c r="O68" s="594">
        <f t="shared" si="51"/>
        <v>13756.383986928106</v>
      </c>
      <c r="P68" s="594">
        <f t="shared" si="51"/>
        <v>13756.383986928106</v>
      </c>
      <c r="Q68" s="594">
        <f t="shared" si="46"/>
        <v>162531.87699346401</v>
      </c>
      <c r="R68" s="594"/>
      <c r="S68" s="594">
        <f t="shared" si="47"/>
        <v>40854.76</v>
      </c>
      <c r="T68" s="594">
        <f t="shared" si="48"/>
        <v>40382.76</v>
      </c>
      <c r="U68" s="594">
        <f t="shared" si="49"/>
        <v>40351.714509803918</v>
      </c>
      <c r="V68" s="594">
        <f t="shared" si="50"/>
        <v>40942.642483660136</v>
      </c>
      <c r="W68" s="594"/>
    </row>
    <row r="69" spans="1:23" ht="12.75">
      <c r="A69" s="595"/>
      <c r="B69" s="591"/>
      <c r="C69" s="607"/>
      <c r="D69" s="594"/>
      <c r="E69" s="594"/>
      <c r="F69" s="594"/>
      <c r="G69" s="594"/>
      <c r="H69" s="594"/>
      <c r="I69" s="594"/>
      <c r="J69" s="594"/>
      <c r="K69" s="594"/>
      <c r="L69" s="594"/>
      <c r="M69" s="594"/>
      <c r="N69" s="594"/>
      <c r="O69" s="594"/>
      <c r="P69" s="594"/>
      <c r="Q69" s="594"/>
      <c r="R69" s="594"/>
      <c r="S69" s="594"/>
      <c r="T69" s="594"/>
      <c r="U69" s="594"/>
      <c r="V69" s="594"/>
    </row>
    <row r="70" spans="1:23" ht="12.75">
      <c r="A70" s="595"/>
      <c r="B70" s="591">
        <v>60200</v>
      </c>
      <c r="C70" s="596" t="s">
        <v>481</v>
      </c>
      <c r="D70" s="593">
        <v>0</v>
      </c>
      <c r="E70" s="594">
        <f>+[4]Admin!E45+[4]BOO!E45+[4]NA!E45+[4]Engineering!E50+[4]Marketing!E45+'[4]NA Sales'!E45</f>
        <v>131</v>
      </c>
      <c r="F70" s="594">
        <f>+[4]Admin!F45+[4]BOO!F45+[4]NA!F45+[4]Engineering!F50+[4]Marketing!F45+'[4]NA Sales'!F45</f>
        <v>131</v>
      </c>
      <c r="G70" s="594">
        <f>+[4]Admin!G45+[4]BOO!G45+[4]NA!G45+[4]Engineering!G50+[4]Marketing!G45+'[4]NA Sales'!G45</f>
        <v>131</v>
      </c>
      <c r="H70" s="594">
        <f>+[4]Admin!H45+[4]BOO!H45+[4]NA!H45+[4]Engineering!H50+[4]Marketing!H45+'[4]NA Sales'!H45</f>
        <v>131</v>
      </c>
      <c r="I70" s="594">
        <f>+[4]Admin!I45+[4]BOO!I45+[4]NA!I45+[4]Engineering!I50+[4]Marketing!I45+'[4]NA Sales'!I45</f>
        <v>131</v>
      </c>
      <c r="J70" s="594">
        <f>+[4]Admin!J45+[4]BOO!J45+[4]NA!J45+[4]Engineering!J50+[4]Marketing!J45+'[4]NA Sales'!J45</f>
        <v>131</v>
      </c>
      <c r="K70" s="594">
        <f>+[4]Admin!K45+[4]BOO!K45+[4]NA!K45+[4]Engineering!K50+[4]Marketing!K45+'[4]NA Sales'!K45</f>
        <v>131</v>
      </c>
      <c r="L70" s="594">
        <f>+[4]Admin!L45+[4]BOO!L45+[4]NA!L45+[4]Engineering!L50+[4]Marketing!L45+'[4]NA Sales'!L45</f>
        <v>131</v>
      </c>
      <c r="M70" s="594">
        <f>+[4]Admin!M45+[4]BOO!M45+[4]NA!M45+[4]Engineering!M50+[4]Marketing!M45+'[4]NA Sales'!M45</f>
        <v>131</v>
      </c>
      <c r="N70" s="594">
        <f>+[4]Admin!N45+[4]BOO!N45+[4]NA!N45+[4]Engineering!N50+[4]Marketing!N45+'[4]NA Sales'!N45</f>
        <v>131</v>
      </c>
      <c r="O70" s="594">
        <f>+[4]Admin!O45+[4]BOO!O45+[4]NA!O45+[4]Engineering!O50+[4]Marketing!O45+'[4]NA Sales'!O45</f>
        <v>131</v>
      </c>
      <c r="P70" s="594">
        <f>+[4]Admin!P45+[4]BOO!P45+[4]NA!P45+[4]Engineering!P50+[4]Marketing!P45+'[4]NA Sales'!P45</f>
        <v>131</v>
      </c>
      <c r="Q70" s="594">
        <f>SUM(E70:P70)</f>
        <v>1572</v>
      </c>
      <c r="R70" s="594"/>
      <c r="S70" s="594">
        <f>SUM(E70:G70)</f>
        <v>393</v>
      </c>
      <c r="T70" s="594">
        <f>SUM(H70:J70)</f>
        <v>393</v>
      </c>
      <c r="U70" s="594">
        <f>SUM(K70:M70)</f>
        <v>393</v>
      </c>
      <c r="V70" s="594">
        <f>SUM(N70:P70)</f>
        <v>393</v>
      </c>
    </row>
    <row r="71" spans="1:23" ht="12.75">
      <c r="A71" s="595"/>
      <c r="B71" s="591">
        <v>61500</v>
      </c>
      <c r="C71" s="596" t="s">
        <v>482</v>
      </c>
      <c r="D71" s="593">
        <f>+'[5]R&amp;D May Comparison'!B47</f>
        <v>1498.1666666666667</v>
      </c>
      <c r="E71" s="594">
        <f>+[4]Admin!E46+[4]BOO!E46+[4]NA!E46+[4]Engineering!E51+[4]Marketing!E46+'[4]NA Sales'!E46</f>
        <v>2415</v>
      </c>
      <c r="F71" s="594">
        <f>+[4]Admin!F46+[4]BOO!F46+[4]NA!F46+[4]Engineering!F51+[4]Marketing!F46+'[4]NA Sales'!F46</f>
        <v>2415</v>
      </c>
      <c r="G71" s="594">
        <f>+[4]Admin!G46+[4]BOO!G46+[4]NA!G46+[4]Engineering!G51+[4]Marketing!G46+'[4]NA Sales'!G46</f>
        <v>2415</v>
      </c>
      <c r="H71" s="594">
        <f>+[4]Admin!H46+[4]BOO!H46+[4]NA!H46+[4]Engineering!H51+[4]Marketing!H46+'[4]NA Sales'!H46</f>
        <v>2415</v>
      </c>
      <c r="I71" s="594">
        <f>+[4]Admin!I46+[4]BOO!I46+[4]NA!I46+[4]Engineering!I51+[4]Marketing!I46+'[4]NA Sales'!I46</f>
        <v>2415</v>
      </c>
      <c r="J71" s="594">
        <f>+[4]Admin!J46+[4]BOO!J46+[4]NA!J46+[4]Engineering!J51+[4]Marketing!J46+'[4]NA Sales'!J46</f>
        <v>2415</v>
      </c>
      <c r="K71" s="594">
        <f>+[4]Admin!K46+[4]BOO!K46+[4]NA!K46+[4]Engineering!K51+[4]Marketing!K46+'[4]NA Sales'!K46</f>
        <v>2415</v>
      </c>
      <c r="L71" s="594">
        <f>+[4]Admin!L46+[4]BOO!L46+[4]NA!L46+[4]Engineering!L51+[4]Marketing!L46+'[4]NA Sales'!L46</f>
        <v>2415</v>
      </c>
      <c r="M71" s="594">
        <f>+[4]Admin!M46+[4]BOO!M46+[4]NA!M46+[4]Engineering!M51+[4]Marketing!M46+'[4]NA Sales'!M46</f>
        <v>2415</v>
      </c>
      <c r="N71" s="594">
        <f>+[4]Admin!N46+[4]BOO!N46+[4]NA!N46+[4]Engineering!N51+[4]Marketing!N46+'[4]NA Sales'!N46</f>
        <v>2415</v>
      </c>
      <c r="O71" s="594">
        <f>+[4]Admin!O46+[4]BOO!O46+[4]NA!O46+[4]Engineering!O51+[4]Marketing!O46+'[4]NA Sales'!O46</f>
        <v>2415</v>
      </c>
      <c r="P71" s="594">
        <f>+[4]Admin!P46+[4]BOO!P46+[4]NA!P46+[4]Engineering!P51+[4]Marketing!P46+'[4]NA Sales'!P46</f>
        <v>2415</v>
      </c>
      <c r="Q71" s="594">
        <f>SUM(E71:P71)</f>
        <v>28980</v>
      </c>
      <c r="R71" s="594"/>
      <c r="S71" s="594">
        <f>SUM(E71:G71)</f>
        <v>7245</v>
      </c>
      <c r="T71" s="594">
        <f>SUM(H71:J71)</f>
        <v>7245</v>
      </c>
      <c r="U71" s="594">
        <f>SUM(K71:M71)</f>
        <v>7245</v>
      </c>
      <c r="V71" s="594">
        <f>SUM(N71:P71)</f>
        <v>7245</v>
      </c>
    </row>
    <row r="72" spans="1:23" ht="12.75">
      <c r="A72" s="595"/>
      <c r="B72" s="591">
        <v>61600</v>
      </c>
      <c r="C72" s="596" t="s">
        <v>483</v>
      </c>
      <c r="D72" s="593">
        <f>+'[5]R&amp;D May Comparison'!B48</f>
        <v>316.75</v>
      </c>
      <c r="E72" s="594">
        <f>+[4]Admin!E47+[4]BOO!E47+[4]NA!E47+[4]Engineering!E52+[4]Marketing!E47+'[4]NA Sales'!E47</f>
        <v>2185.4300000000003</v>
      </c>
      <c r="F72" s="594">
        <f>+[4]Admin!F47+[4]BOO!F47+[4]NA!F47+[4]Engineering!F52+[4]Marketing!F47+'[4]NA Sales'!F47</f>
        <v>2185.4300000000003</v>
      </c>
      <c r="G72" s="594">
        <f>+[4]Admin!G47+[4]BOO!G47+[4]NA!G47+[4]Engineering!G52+[4]Marketing!G47+'[4]NA Sales'!G47</f>
        <v>2185.4300000000003</v>
      </c>
      <c r="H72" s="594">
        <f>+[4]Admin!H47+[4]BOO!H47+[4]NA!H47+[4]Engineering!H52+[4]Marketing!H47+'[4]NA Sales'!H47</f>
        <v>2185.4300000000003</v>
      </c>
      <c r="I72" s="594">
        <f>+[4]Admin!I47+[4]BOO!I47+[4]NA!I47+[4]Engineering!I52+[4]Marketing!I47+'[4]NA Sales'!I47</f>
        <v>2185.4300000000003</v>
      </c>
      <c r="J72" s="594">
        <f>+[4]Admin!J47+[4]BOO!J47+[4]NA!J47+[4]Engineering!J52+[4]Marketing!J47+'[4]NA Sales'!J47</f>
        <v>2185.4300000000003</v>
      </c>
      <c r="K72" s="594">
        <f>+[4]Admin!K47+[4]BOO!K47+[4]NA!K47+[4]Engineering!K52+[4]Marketing!K47+'[4]NA Sales'!K47</f>
        <v>2185.4300000000003</v>
      </c>
      <c r="L72" s="594">
        <f>+[4]Admin!L47+[4]BOO!L47+[4]NA!L47+[4]Engineering!L52+[4]Marketing!L47+'[4]NA Sales'!L47</f>
        <v>2185.4300000000003</v>
      </c>
      <c r="M72" s="594">
        <f>+[4]Admin!M47+[4]BOO!M47+[4]NA!M47+[4]Engineering!M52+[4]Marketing!M47+'[4]NA Sales'!M47</f>
        <v>2185.4300000000003</v>
      </c>
      <c r="N72" s="594">
        <f>+[4]Admin!N47+[4]BOO!N47+[4]NA!N47+[4]Engineering!N52+[4]Marketing!N47+'[4]NA Sales'!N47</f>
        <v>2185.4300000000003</v>
      </c>
      <c r="O72" s="594">
        <f>+[4]Admin!O47+[4]BOO!O47+[4]NA!O47+[4]Engineering!O52+[4]Marketing!O47+'[4]NA Sales'!O47</f>
        <v>2185.4300000000003</v>
      </c>
      <c r="P72" s="594">
        <f>+[4]Admin!P47+[4]BOO!P47+[4]NA!P47+[4]Engineering!P52+[4]Marketing!P47+'[4]NA Sales'!P47</f>
        <v>2185.4300000000003</v>
      </c>
      <c r="Q72" s="594">
        <f>SUM(E72:P72)</f>
        <v>26225.160000000003</v>
      </c>
      <c r="R72" s="594"/>
      <c r="S72" s="594">
        <f>SUM(E72:G72)</f>
        <v>6556.2900000000009</v>
      </c>
      <c r="T72" s="594">
        <f>SUM(H72:J72)</f>
        <v>6556.2900000000009</v>
      </c>
      <c r="U72" s="594">
        <f>SUM(K72:M72)</f>
        <v>6556.2900000000009</v>
      </c>
      <c r="V72" s="594">
        <f>SUM(N72:P72)</f>
        <v>6556.2900000000009</v>
      </c>
    </row>
    <row r="73" spans="1:23" ht="12.75">
      <c r="A73" s="595"/>
      <c r="B73" s="606">
        <v>62100</v>
      </c>
      <c r="C73" s="596" t="s">
        <v>484</v>
      </c>
      <c r="D73" s="593">
        <v>0</v>
      </c>
      <c r="E73" s="594">
        <f>+[4]Admin!E48+[4]BOO!E48+[4]NA!E48+[4]Engineering!E53+[4]Marketing!E48+'[4]NA Sales'!E48</f>
        <v>0</v>
      </c>
      <c r="F73" s="594">
        <f>+[4]Admin!F48+[4]BOO!F48+[4]NA!F48+[4]Engineering!F53+[4]Marketing!F48+'[4]NA Sales'!F48</f>
        <v>0</v>
      </c>
      <c r="G73" s="594">
        <f>+[4]Admin!G48+[4]BOO!G48+[4]NA!G48+[4]Engineering!G53+[4]Marketing!G48+'[4]NA Sales'!G48</f>
        <v>0</v>
      </c>
      <c r="H73" s="594">
        <f>+[4]Admin!H48+[4]BOO!H48+[4]NA!H48+[4]Engineering!H53+[4]Marketing!H48+'[4]NA Sales'!H48</f>
        <v>0</v>
      </c>
      <c r="I73" s="594">
        <f>+[4]Admin!I48+[4]BOO!I48+[4]NA!I48+[4]Engineering!I53+[4]Marketing!I48+'[4]NA Sales'!I48</f>
        <v>0</v>
      </c>
      <c r="J73" s="594">
        <f>+[4]Admin!J48+[4]BOO!J48+[4]NA!J48+[4]Engineering!J53+[4]Marketing!J48+'[4]NA Sales'!J48</f>
        <v>0</v>
      </c>
      <c r="K73" s="594">
        <f>+[4]Admin!K48+[4]BOO!K48+[4]NA!K48+[4]Engineering!K53+[4]Marketing!K48+'[4]NA Sales'!K48</f>
        <v>0</v>
      </c>
      <c r="L73" s="594">
        <f>+[4]Admin!L48+[4]BOO!L48+[4]NA!L48+[4]Engineering!L53+[4]Marketing!L48+'[4]NA Sales'!L48</f>
        <v>0</v>
      </c>
      <c r="M73" s="594">
        <f>+[4]Admin!M48+[4]BOO!M48+[4]NA!M48+[4]Engineering!M53+[4]Marketing!M48+'[4]NA Sales'!M48</f>
        <v>0</v>
      </c>
      <c r="N73" s="594">
        <f>+[4]Admin!N48+[4]BOO!N48+[4]NA!N48+[4]Engineering!N53+[4]Marketing!N48+'[4]NA Sales'!N48</f>
        <v>0</v>
      </c>
      <c r="O73" s="594">
        <f>+[4]Admin!O48+[4]BOO!O48+[4]NA!O48+[4]Engineering!O53+[4]Marketing!O48+'[4]NA Sales'!O48</f>
        <v>0</v>
      </c>
      <c r="P73" s="594">
        <f>+[4]Admin!P48+[4]BOO!P48+[4]NA!P48+[4]Engineering!P53+[4]Marketing!P48+'[4]NA Sales'!P48</f>
        <v>0</v>
      </c>
      <c r="Q73" s="594">
        <f>SUM(E73:P73)</f>
        <v>0</v>
      </c>
      <c r="R73" s="594"/>
      <c r="S73" s="594">
        <f>SUM(E73:G73)</f>
        <v>0</v>
      </c>
      <c r="T73" s="594">
        <f>SUM(H73:J73)</f>
        <v>0</v>
      </c>
      <c r="U73" s="594">
        <f>SUM(K73:M73)</f>
        <v>0</v>
      </c>
      <c r="V73" s="594">
        <f>SUM(N73:P73)</f>
        <v>0</v>
      </c>
    </row>
    <row r="74" spans="1:23" ht="12.75">
      <c r="A74" s="595"/>
      <c r="B74" s="611"/>
      <c r="C74" s="596" t="s">
        <v>485</v>
      </c>
      <c r="D74" s="593">
        <f t="shared" ref="D74:P74" si="52">SUM(D70:D73)</f>
        <v>1814.9166666666667</v>
      </c>
      <c r="E74" s="593">
        <f t="shared" si="52"/>
        <v>4731.43</v>
      </c>
      <c r="F74" s="593">
        <f t="shared" si="52"/>
        <v>4731.43</v>
      </c>
      <c r="G74" s="593">
        <f t="shared" si="52"/>
        <v>4731.43</v>
      </c>
      <c r="H74" s="593">
        <f t="shared" si="52"/>
        <v>4731.43</v>
      </c>
      <c r="I74" s="593">
        <f t="shared" si="52"/>
        <v>4731.43</v>
      </c>
      <c r="J74" s="593">
        <f t="shared" si="52"/>
        <v>4731.43</v>
      </c>
      <c r="K74" s="593">
        <f t="shared" si="52"/>
        <v>4731.43</v>
      </c>
      <c r="L74" s="593">
        <f t="shared" si="52"/>
        <v>4731.43</v>
      </c>
      <c r="M74" s="593">
        <f t="shared" si="52"/>
        <v>4731.43</v>
      </c>
      <c r="N74" s="593">
        <f t="shared" si="52"/>
        <v>4731.43</v>
      </c>
      <c r="O74" s="593">
        <f t="shared" si="52"/>
        <v>4731.43</v>
      </c>
      <c r="P74" s="593">
        <f t="shared" si="52"/>
        <v>4731.43</v>
      </c>
      <c r="Q74" s="594">
        <f>SUM(E74:P74)</f>
        <v>56777.16</v>
      </c>
      <c r="R74" s="594"/>
      <c r="S74" s="594">
        <f>SUM(E74:G74)</f>
        <v>14194.29</v>
      </c>
      <c r="T74" s="594">
        <f>SUM(H74:J74)</f>
        <v>14194.29</v>
      </c>
      <c r="U74" s="594">
        <f>SUM(K74:M74)</f>
        <v>14194.29</v>
      </c>
      <c r="V74" s="594">
        <f>SUM(N74:P74)</f>
        <v>14194.29</v>
      </c>
      <c r="W74" s="594"/>
    </row>
    <row r="75" spans="1:23" ht="12.75">
      <c r="A75" s="595"/>
      <c r="B75" s="611"/>
      <c r="C75" s="596"/>
      <c r="D75" s="593"/>
      <c r="E75" s="593"/>
      <c r="F75" s="593"/>
      <c r="G75" s="593"/>
      <c r="H75" s="593"/>
      <c r="I75" s="593"/>
      <c r="J75" s="593"/>
      <c r="K75" s="593"/>
      <c r="L75" s="593"/>
      <c r="M75" s="593"/>
      <c r="N75" s="593"/>
      <c r="O75" s="593"/>
      <c r="P75" s="593"/>
      <c r="Q75" s="594"/>
      <c r="R75" s="594"/>
      <c r="S75" s="594"/>
      <c r="T75" s="594"/>
      <c r="U75" s="594"/>
      <c r="V75" s="594"/>
    </row>
    <row r="76" spans="1:23" ht="12.75">
      <c r="A76" s="608"/>
      <c r="B76" s="591">
        <v>65100</v>
      </c>
      <c r="C76" s="596" t="s">
        <v>486</v>
      </c>
      <c r="D76" s="593">
        <f>+'[5]R&amp;D May Comparison'!B52</f>
        <v>1059.6666666666667</v>
      </c>
      <c r="E76" s="593">
        <f>+[4]Admin!E51+[4]BOO!E51+[4]NA!E51+[4]Engineering!E56+[4]Marketing!E51+'[4]NA Sales'!E51</f>
        <v>1719.9449999999999</v>
      </c>
      <c r="F76" s="593">
        <f>+[4]Admin!F51+[4]BOO!F51+[4]NA!F51+[4]Engineering!F56+[4]Marketing!F51+'[4]NA Sales'!F51</f>
        <v>1719.9449999999999</v>
      </c>
      <c r="G76" s="593">
        <f>+[4]Admin!G51+[4]BOO!G51+[4]NA!G51+[4]Engineering!G56+[4]Marketing!G51+'[4]NA Sales'!G51</f>
        <v>1719.9449999999999</v>
      </c>
      <c r="H76" s="593">
        <f>+[4]Admin!H51+[4]BOO!H51+[4]NA!H51+[4]Engineering!H56+[4]Marketing!H51+'[4]NA Sales'!H51</f>
        <v>1719.9449999999999</v>
      </c>
      <c r="I76" s="593">
        <f>+[4]Admin!I51+[4]BOO!I51+[4]NA!I51+[4]Engineering!I56+[4]Marketing!I51+'[4]NA Sales'!I51</f>
        <v>1869.9449999999999</v>
      </c>
      <c r="J76" s="593">
        <f>+[4]Admin!J51+[4]BOO!J51+[4]NA!J51+[4]Engineering!J56+[4]Marketing!J51+'[4]NA Sales'!J51</f>
        <v>1874.1690000000001</v>
      </c>
      <c r="K76" s="593">
        <f>+[4]Admin!K51+[4]BOO!K51+[4]NA!K51+[4]Engineering!K56+[4]Marketing!K51+'[4]NA Sales'!K51</f>
        <v>1885.519</v>
      </c>
      <c r="L76" s="593">
        <f>+[4]Admin!L51+[4]BOO!L51+[4]NA!L51+[4]Engineering!L56+[4]Marketing!L51+'[4]NA Sales'!L51</f>
        <v>1885.519</v>
      </c>
      <c r="M76" s="593">
        <f>+[4]Admin!M51+[4]BOO!M51+[4]NA!M51+[4]Engineering!M56+[4]Marketing!M51+'[4]NA Sales'!M51</f>
        <v>1885.519</v>
      </c>
      <c r="N76" s="593">
        <f>+[4]Admin!N51+[4]BOO!N51+[4]NA!N51+[4]Engineering!N56+[4]Marketing!N51+'[4]NA Sales'!N51</f>
        <v>1885.519</v>
      </c>
      <c r="O76" s="593">
        <f>+[4]Admin!O51+[4]BOO!O51+[4]NA!O51+[4]Engineering!O56+[4]Marketing!O51+'[4]NA Sales'!O51</f>
        <v>1885.519</v>
      </c>
      <c r="P76" s="593">
        <f>+[4]Admin!P51+[4]BOO!P51+[4]NA!P51+[4]Engineering!P56+[4]Marketing!P51+'[4]NA Sales'!P51</f>
        <v>1885.519</v>
      </c>
      <c r="Q76" s="594">
        <f>SUM(E76:P76)</f>
        <v>21937.008000000002</v>
      </c>
      <c r="R76" s="594"/>
      <c r="S76" s="594">
        <f>SUM(E76:G76)</f>
        <v>5159.835</v>
      </c>
      <c r="T76" s="594">
        <f>SUM(H76:J76)</f>
        <v>5464.0590000000002</v>
      </c>
      <c r="U76" s="594">
        <f>SUM(K76:M76)</f>
        <v>5656.5569999999998</v>
      </c>
      <c r="V76" s="594">
        <f>SUM(N76:P76)</f>
        <v>5656.5569999999998</v>
      </c>
    </row>
    <row r="77" spans="1:23" ht="12.75">
      <c r="A77" s="608"/>
      <c r="B77" s="591">
        <v>65200</v>
      </c>
      <c r="C77" s="596" t="s">
        <v>487</v>
      </c>
      <c r="D77" s="593">
        <v>0</v>
      </c>
      <c r="E77" s="593">
        <f>+[4]Admin!E52+[4]BOO!E52+[4]NA!E52+[4]Engineering!E57+[4]Marketing!E52+'[4]NA Sales'!E52</f>
        <v>0</v>
      </c>
      <c r="F77" s="593">
        <f>+[4]Admin!F52+[4]BOO!F52+[4]NA!F52+[4]Engineering!F57+[4]Marketing!F52+'[4]NA Sales'!F52</f>
        <v>0</v>
      </c>
      <c r="G77" s="593">
        <f>+[4]Admin!G52+[4]BOO!G52+[4]NA!G52+[4]Engineering!G57+[4]Marketing!G52+'[4]NA Sales'!G52</f>
        <v>0</v>
      </c>
      <c r="H77" s="593">
        <f>+[4]Admin!H52+[4]BOO!H52+[4]NA!H52+[4]Engineering!H57+[4]Marketing!H52+'[4]NA Sales'!H52</f>
        <v>0</v>
      </c>
      <c r="I77" s="593">
        <f>+[4]Admin!I52+[4]BOO!I52+[4]NA!I52+[4]Engineering!I57+[4]Marketing!I52+'[4]NA Sales'!I52</f>
        <v>0</v>
      </c>
      <c r="J77" s="593">
        <f>+[4]Admin!J52+[4]BOO!J52+[4]NA!J52+[4]Engineering!J57+[4]Marketing!J52+'[4]NA Sales'!J52</f>
        <v>0</v>
      </c>
      <c r="K77" s="593">
        <f>+[4]Admin!K52+[4]BOO!K52+[4]NA!K52+[4]Engineering!K57+[4]Marketing!K52+'[4]NA Sales'!K52</f>
        <v>1400</v>
      </c>
      <c r="L77" s="593">
        <f>+[4]Admin!L52+[4]BOO!L52+[4]NA!L52+[4]Engineering!L57+[4]Marketing!L52+'[4]NA Sales'!L52</f>
        <v>0</v>
      </c>
      <c r="M77" s="593">
        <f>+[4]Admin!M52+[4]BOO!M52+[4]NA!M52+[4]Engineering!M57+[4]Marketing!M52+'[4]NA Sales'!M52</f>
        <v>0</v>
      </c>
      <c r="N77" s="593">
        <f>+[4]Admin!N52+[4]BOO!N52+[4]NA!N52+[4]Engineering!N57+[4]Marketing!N52+'[4]NA Sales'!N52</f>
        <v>0</v>
      </c>
      <c r="O77" s="593">
        <f>+[4]Admin!O52+[4]BOO!O52+[4]NA!O52+[4]Engineering!O57+[4]Marketing!O52+'[4]NA Sales'!O52</f>
        <v>0</v>
      </c>
      <c r="P77" s="593">
        <f>+[4]Admin!P52+[4]BOO!P52+[4]NA!P52+[4]Engineering!P57+[4]Marketing!P52+'[4]NA Sales'!P52</f>
        <v>0</v>
      </c>
      <c r="Q77" s="594">
        <f>SUM(E77:P77)</f>
        <v>1400</v>
      </c>
      <c r="R77" s="594"/>
      <c r="S77" s="594">
        <f>SUM(E77:G77)</f>
        <v>0</v>
      </c>
      <c r="T77" s="594">
        <f>SUM(H77:J77)</f>
        <v>0</v>
      </c>
      <c r="U77" s="594">
        <f>SUM(K77:M77)</f>
        <v>1400</v>
      </c>
      <c r="V77" s="594">
        <f>SUM(N77:P77)</f>
        <v>0</v>
      </c>
    </row>
    <row r="78" spans="1:23" ht="12.75">
      <c r="A78" s="608"/>
      <c r="B78" s="591">
        <v>65300</v>
      </c>
      <c r="C78" s="596" t="s">
        <v>488</v>
      </c>
      <c r="D78" s="593">
        <v>0</v>
      </c>
      <c r="E78" s="593">
        <f>+[4]Admin!E53+[4]BOO!E53+[4]NA!E53+[4]Engineering!E58+[4]Marketing!E53+'[4]NA Sales'!E53</f>
        <v>200</v>
      </c>
      <c r="F78" s="593">
        <f>+[4]Admin!F53+[4]BOO!F53+[4]NA!F53+[4]Engineering!F58+[4]Marketing!F53+'[4]NA Sales'!F53</f>
        <v>200</v>
      </c>
      <c r="G78" s="593">
        <f>+[4]Admin!G53+[4]BOO!G53+[4]NA!G53+[4]Engineering!G58+[4]Marketing!G53+'[4]NA Sales'!G53</f>
        <v>200</v>
      </c>
      <c r="H78" s="593">
        <f>+[4]Admin!H53+[4]BOO!H53+[4]NA!H53+[4]Engineering!H58+[4]Marketing!H53+'[4]NA Sales'!H53</f>
        <v>200</v>
      </c>
      <c r="I78" s="593">
        <f>+[4]Admin!I53+[4]BOO!I53+[4]NA!I53+[4]Engineering!I58+[4]Marketing!I53+'[4]NA Sales'!I53</f>
        <v>200</v>
      </c>
      <c r="J78" s="593">
        <f>+[4]Admin!J53+[4]BOO!J53+[4]NA!J53+[4]Engineering!J58+[4]Marketing!J53+'[4]NA Sales'!J53</f>
        <v>200</v>
      </c>
      <c r="K78" s="593">
        <f>+[4]Admin!K53+[4]BOO!K53+[4]NA!K53+[4]Engineering!K58+[4]Marketing!K53+'[4]NA Sales'!K53</f>
        <v>200</v>
      </c>
      <c r="L78" s="593">
        <f>+[4]Admin!L53+[4]BOO!L53+[4]NA!L53+[4]Engineering!L58+[4]Marketing!L53+'[4]NA Sales'!L53</f>
        <v>200</v>
      </c>
      <c r="M78" s="593">
        <f>+[4]Admin!M53+[4]BOO!M53+[4]NA!M53+[4]Engineering!M58+[4]Marketing!M53+'[4]NA Sales'!M53</f>
        <v>200</v>
      </c>
      <c r="N78" s="593">
        <f>+[4]Admin!N53+[4]BOO!N53+[4]NA!N53+[4]Engineering!N58+[4]Marketing!N53+'[4]NA Sales'!N53</f>
        <v>200</v>
      </c>
      <c r="O78" s="593">
        <f>+[4]Admin!O53+[4]BOO!O53+[4]NA!O53+[4]Engineering!O58+[4]Marketing!O53+'[4]NA Sales'!O53</f>
        <v>200</v>
      </c>
      <c r="P78" s="593">
        <f>+[4]Admin!P53+[4]BOO!P53+[4]NA!P53+[4]Engineering!P58+[4]Marketing!P53+'[4]NA Sales'!P53</f>
        <v>200</v>
      </c>
      <c r="Q78" s="594">
        <f>SUM(E78:P78)</f>
        <v>2400</v>
      </c>
      <c r="R78" s="594"/>
      <c r="S78" s="594">
        <f>SUM(E78:G78)</f>
        <v>600</v>
      </c>
      <c r="T78" s="594">
        <f>SUM(H78:J78)</f>
        <v>600</v>
      </c>
      <c r="U78" s="594">
        <f>SUM(K78:M78)</f>
        <v>600</v>
      </c>
      <c r="V78" s="594">
        <f>SUM(N78:P78)</f>
        <v>600</v>
      </c>
    </row>
    <row r="79" spans="1:23" ht="12.75">
      <c r="A79" s="608"/>
      <c r="B79" s="591"/>
      <c r="C79" s="596" t="s">
        <v>489</v>
      </c>
      <c r="D79" s="593">
        <f t="shared" ref="D79:P79" si="53">SUM(D76:D78)</f>
        <v>1059.6666666666667</v>
      </c>
      <c r="E79" s="593">
        <f t="shared" si="53"/>
        <v>1919.9449999999999</v>
      </c>
      <c r="F79" s="593">
        <f t="shared" si="53"/>
        <v>1919.9449999999999</v>
      </c>
      <c r="G79" s="593">
        <f t="shared" si="53"/>
        <v>1919.9449999999999</v>
      </c>
      <c r="H79" s="593">
        <f t="shared" si="53"/>
        <v>1919.9449999999999</v>
      </c>
      <c r="I79" s="593">
        <f t="shared" si="53"/>
        <v>2069.9449999999997</v>
      </c>
      <c r="J79" s="593">
        <f t="shared" si="53"/>
        <v>2074.1689999999999</v>
      </c>
      <c r="K79" s="593">
        <f t="shared" si="53"/>
        <v>3485.5190000000002</v>
      </c>
      <c r="L79" s="593">
        <f t="shared" si="53"/>
        <v>2085.5190000000002</v>
      </c>
      <c r="M79" s="593">
        <f t="shared" si="53"/>
        <v>2085.5190000000002</v>
      </c>
      <c r="N79" s="593">
        <f t="shared" si="53"/>
        <v>2085.5190000000002</v>
      </c>
      <c r="O79" s="593">
        <f t="shared" si="53"/>
        <v>2085.5190000000002</v>
      </c>
      <c r="P79" s="593">
        <f t="shared" si="53"/>
        <v>2085.5190000000002</v>
      </c>
      <c r="Q79" s="594">
        <f>SUM(E79:P79)</f>
        <v>25737.008000000002</v>
      </c>
      <c r="R79" s="594"/>
      <c r="S79" s="594">
        <f>SUM(E79:G79)</f>
        <v>5759.835</v>
      </c>
      <c r="T79" s="594">
        <f>SUM(H79:J79)</f>
        <v>6064.0589999999993</v>
      </c>
      <c r="U79" s="594">
        <f>SUM(K79:M79)</f>
        <v>7656.5570000000007</v>
      </c>
      <c r="V79" s="594">
        <f>SUM(N79:P79)</f>
        <v>6256.5570000000007</v>
      </c>
      <c r="W79" s="594"/>
    </row>
    <row r="80" spans="1:23" ht="12.75">
      <c r="A80" s="608"/>
      <c r="B80" s="591"/>
      <c r="C80" s="596"/>
      <c r="D80" s="593"/>
      <c r="E80" s="593"/>
      <c r="F80" s="593"/>
      <c r="G80" s="593"/>
      <c r="H80" s="593"/>
      <c r="I80" s="593"/>
      <c r="J80" s="593"/>
      <c r="K80" s="593"/>
      <c r="L80" s="593"/>
      <c r="M80" s="593"/>
      <c r="N80" s="593"/>
      <c r="O80" s="593"/>
      <c r="P80" s="593"/>
      <c r="Q80" s="594"/>
      <c r="R80" s="594"/>
      <c r="S80" s="594"/>
      <c r="T80" s="594"/>
      <c r="U80" s="594"/>
      <c r="V80" s="594"/>
    </row>
    <row r="81" spans="1:23" ht="12.75">
      <c r="A81" s="608"/>
      <c r="B81" s="591">
        <v>66100</v>
      </c>
      <c r="C81" s="596" t="s">
        <v>490</v>
      </c>
      <c r="D81" s="593">
        <f>+'[5]R&amp;D May Comparison'!B56</f>
        <v>189.16666666666666</v>
      </c>
      <c r="E81" s="594">
        <f>+[4]Admin!E56+[4]BOO!E56+[4]NA!E56+[4]Engineering!E61+[4]Marketing!E56+'[4]NA Sales'!E56</f>
        <v>0</v>
      </c>
      <c r="F81" s="594">
        <f>+[4]Admin!F56+[4]BOO!F56+[4]NA!F56+[4]Engineering!F61+[4]Marketing!F56+'[4]NA Sales'!F56</f>
        <v>0</v>
      </c>
      <c r="G81" s="594">
        <f>+[4]Admin!G56+[4]BOO!G56+[4]NA!G56+[4]Engineering!G61+[4]Marketing!G56+'[4]NA Sales'!G56</f>
        <v>0</v>
      </c>
      <c r="H81" s="594">
        <f>+[4]Admin!H56+[4]BOO!H56+[4]NA!H56+[4]Engineering!H61+[4]Marketing!H56+'[4]NA Sales'!H56</f>
        <v>0</v>
      </c>
      <c r="I81" s="594">
        <f>+[4]Admin!I56+[4]BOO!I56+[4]NA!I56+[4]Engineering!I61+[4]Marketing!I56+'[4]NA Sales'!I56</f>
        <v>0</v>
      </c>
      <c r="J81" s="594">
        <f>+[4]Admin!J56+[4]BOO!J56+[4]NA!J56+[4]Engineering!J61+[4]Marketing!J56+'[4]NA Sales'!J56</f>
        <v>0</v>
      </c>
      <c r="K81" s="594">
        <f>+[4]Admin!K56+[4]BOO!K56+[4]NA!K56+[4]Engineering!K61+[4]Marketing!K56+'[4]NA Sales'!K56</f>
        <v>0</v>
      </c>
      <c r="L81" s="594">
        <f>+[4]Admin!L56+[4]BOO!L56+[4]NA!L56+[4]Engineering!L61+[4]Marketing!L56+'[4]NA Sales'!L56</f>
        <v>0</v>
      </c>
      <c r="M81" s="594">
        <f>+[4]Admin!M56+[4]BOO!M56+[4]NA!M56+[4]Engineering!M61+[4]Marketing!M56+'[4]NA Sales'!M56</f>
        <v>0</v>
      </c>
      <c r="N81" s="594">
        <f>+[4]Admin!N56+[4]BOO!N56+[4]NA!N56+[4]Engineering!N61+[4]Marketing!N56+'[4]NA Sales'!N56</f>
        <v>0</v>
      </c>
      <c r="O81" s="594">
        <f>+[4]Admin!O56+[4]BOO!O56+[4]NA!O56+[4]Engineering!O61+[4]Marketing!O56+'[4]NA Sales'!O56</f>
        <v>0</v>
      </c>
      <c r="P81" s="594">
        <f>+[4]Admin!P56+[4]BOO!P56+[4]NA!P56+[4]Engineering!P61+[4]Marketing!P56+'[4]NA Sales'!P56</f>
        <v>250</v>
      </c>
      <c r="Q81" s="594">
        <f t="shared" ref="Q81:Q89" si="54">SUM(E81:P81)</f>
        <v>250</v>
      </c>
      <c r="R81" s="594"/>
      <c r="S81" s="594">
        <f t="shared" ref="S81:S89" si="55">SUM(E81:G81)</f>
        <v>0</v>
      </c>
      <c r="T81" s="594">
        <f t="shared" ref="T81:T89" si="56">SUM(H81:J81)</f>
        <v>0</v>
      </c>
      <c r="U81" s="594">
        <f t="shared" ref="U81:U89" si="57">SUM(K81:M81)</f>
        <v>0</v>
      </c>
      <c r="V81" s="594">
        <f t="shared" ref="V81:V89" si="58">SUM(N81:P81)</f>
        <v>250</v>
      </c>
    </row>
    <row r="82" spans="1:23" ht="12.75">
      <c r="A82" s="608"/>
      <c r="B82" s="591">
        <v>66300</v>
      </c>
      <c r="C82" s="596" t="s">
        <v>491</v>
      </c>
      <c r="D82" s="593">
        <f>+'[5]R&amp;D May Comparison'!B57</f>
        <v>134.33333333333334</v>
      </c>
      <c r="E82" s="594">
        <f>+[4]Admin!E57+[4]BOO!E57+[4]NA!E57+[4]Engineering!E62+[4]Marketing!E57+'[4]NA Sales'!E57</f>
        <v>0</v>
      </c>
      <c r="F82" s="594">
        <f>+[4]Admin!F57+[4]BOO!F57+[4]NA!F57+[4]Engineering!F62+[4]Marketing!F57+'[4]NA Sales'!F57</f>
        <v>0</v>
      </c>
      <c r="G82" s="594">
        <f>+[4]Admin!G57+[4]BOO!G57+[4]NA!G57+[4]Engineering!G62+[4]Marketing!G57+'[4]NA Sales'!G57</f>
        <v>0</v>
      </c>
      <c r="H82" s="594">
        <f>+[4]Admin!H57+[4]BOO!H57+[4]NA!H57+[4]Engineering!H62+[4]Marketing!H57+'[4]NA Sales'!H57</f>
        <v>0</v>
      </c>
      <c r="I82" s="594">
        <f>+[4]Admin!I57+[4]BOO!I57+[4]NA!I57+[4]Engineering!I62+[4]Marketing!I57+'[4]NA Sales'!I57</f>
        <v>0</v>
      </c>
      <c r="J82" s="594">
        <f>+[4]Admin!J57+[4]BOO!J57+[4]NA!J57+[4]Engineering!J62+[4]Marketing!J57+'[4]NA Sales'!J57</f>
        <v>0</v>
      </c>
      <c r="K82" s="594">
        <f>+[4]Admin!K57+[4]BOO!K57+[4]NA!K57+[4]Engineering!K62+[4]Marketing!K57+'[4]NA Sales'!K57</f>
        <v>0</v>
      </c>
      <c r="L82" s="594">
        <f>+[4]Admin!L57+[4]BOO!L57+[4]NA!L57+[4]Engineering!L62+[4]Marketing!L57+'[4]NA Sales'!L57</f>
        <v>0</v>
      </c>
      <c r="M82" s="594">
        <f>+[4]Admin!M57+[4]BOO!M57+[4]NA!M57+[4]Engineering!M62+[4]Marketing!M57+'[4]NA Sales'!M57</f>
        <v>0</v>
      </c>
      <c r="N82" s="594">
        <f>+[4]Admin!N57+[4]BOO!N57+[4]NA!N57+[4]Engineering!N62+[4]Marketing!N57+'[4]NA Sales'!N57</f>
        <v>0</v>
      </c>
      <c r="O82" s="594">
        <f>+[4]Admin!O57+[4]BOO!O57+[4]NA!O57+[4]Engineering!O62+[4]Marketing!O57+'[4]NA Sales'!O57</f>
        <v>0</v>
      </c>
      <c r="P82" s="594">
        <f>+[4]Admin!P57+[4]BOO!P57+[4]NA!P57+[4]Engineering!P62+[4]Marketing!P57+'[4]NA Sales'!P57</f>
        <v>0</v>
      </c>
      <c r="Q82" s="594">
        <f t="shared" si="54"/>
        <v>0</v>
      </c>
      <c r="R82" s="594"/>
      <c r="S82" s="594">
        <f t="shared" si="55"/>
        <v>0</v>
      </c>
      <c r="T82" s="594">
        <f t="shared" si="56"/>
        <v>0</v>
      </c>
      <c r="U82" s="594">
        <f t="shared" si="57"/>
        <v>0</v>
      </c>
      <c r="V82" s="594">
        <f t="shared" si="58"/>
        <v>0</v>
      </c>
    </row>
    <row r="83" spans="1:23" ht="12.75">
      <c r="A83" s="608"/>
      <c r="B83" s="591">
        <v>67200</v>
      </c>
      <c r="C83" s="596" t="s">
        <v>492</v>
      </c>
      <c r="D83" s="593">
        <f>+'[5]R&amp;D May Comparison'!B58</f>
        <v>433.5</v>
      </c>
      <c r="E83" s="594">
        <f>+[4]Admin!E58+[4]BOO!E58+[4]NA!E58+[4]Engineering!E63+[4]Marketing!E58+'[4]NA Sales'!E58</f>
        <v>250</v>
      </c>
      <c r="F83" s="594">
        <f>+[4]Admin!F58+[4]BOO!F58+[4]NA!F58+[4]Engineering!F63+[4]Marketing!F58+'[4]NA Sales'!F58</f>
        <v>4450</v>
      </c>
      <c r="G83" s="594">
        <f>+[4]Admin!G58+[4]BOO!G58+[4]NA!G58+[4]Engineering!G63+[4]Marketing!G58+'[4]NA Sales'!G58</f>
        <v>450</v>
      </c>
      <c r="H83" s="594">
        <f>+[4]Admin!H58+[4]BOO!H58+[4]NA!H58+[4]Engineering!H63+[4]Marketing!H58+'[4]NA Sales'!H58</f>
        <v>250</v>
      </c>
      <c r="I83" s="594">
        <f>+[4]Admin!I58+[4]BOO!I58+[4]NA!I58+[4]Engineering!I63+[4]Marketing!I58+'[4]NA Sales'!I58</f>
        <v>2250</v>
      </c>
      <c r="J83" s="594">
        <f>+[4]Admin!J58+[4]BOO!J58+[4]NA!J58+[4]Engineering!J63+[4]Marketing!J58+'[4]NA Sales'!J58</f>
        <v>3250</v>
      </c>
      <c r="K83" s="594">
        <f>+[4]Admin!K58+[4]BOO!K58+[4]NA!K58+[4]Engineering!K63+[4]Marketing!K58+'[4]NA Sales'!K58</f>
        <v>250</v>
      </c>
      <c r="L83" s="594">
        <f>+[4]Admin!L58+[4]BOO!L58+[4]NA!L58+[4]Engineering!L63+[4]Marketing!L58+'[4]NA Sales'!L58</f>
        <v>4650</v>
      </c>
      <c r="M83" s="594">
        <f>+[4]Admin!M58+[4]BOO!M58+[4]NA!M58+[4]Engineering!M63+[4]Marketing!M58+'[4]NA Sales'!M58</f>
        <v>250</v>
      </c>
      <c r="N83" s="594">
        <f>+[4]Admin!N58+[4]BOO!N58+[4]NA!N58+[4]Engineering!N63+[4]Marketing!N58+'[4]NA Sales'!N58</f>
        <v>250</v>
      </c>
      <c r="O83" s="594">
        <f>+[4]Admin!O58+[4]BOO!O58+[4]NA!O58+[4]Engineering!O63+[4]Marketing!O58+'[4]NA Sales'!O58</f>
        <v>2450</v>
      </c>
      <c r="P83" s="594">
        <f>+[4]Admin!P58+[4]BOO!P58+[4]NA!P58+[4]Engineering!P63+[4]Marketing!P58+'[4]NA Sales'!P58</f>
        <v>250</v>
      </c>
      <c r="Q83" s="594">
        <f t="shared" si="54"/>
        <v>19000</v>
      </c>
      <c r="R83" s="594"/>
      <c r="S83" s="594">
        <f t="shared" si="55"/>
        <v>5150</v>
      </c>
      <c r="T83" s="594">
        <f t="shared" si="56"/>
        <v>5750</v>
      </c>
      <c r="U83" s="594">
        <f t="shared" si="57"/>
        <v>5150</v>
      </c>
      <c r="V83" s="594">
        <f t="shared" si="58"/>
        <v>2950</v>
      </c>
    </row>
    <row r="84" spans="1:23">
      <c r="A84" s="608"/>
      <c r="B84" s="612" t="s">
        <v>493</v>
      </c>
      <c r="C84" s="613" t="s">
        <v>494</v>
      </c>
      <c r="D84" s="593" t="e">
        <f>+'[6]Sales May comparison'!B60</f>
        <v>#REF!</v>
      </c>
      <c r="E84" s="593">
        <f>+'[4]NA Sales'!E59</f>
        <v>2500</v>
      </c>
      <c r="F84" s="593">
        <f>+'[4]NA Sales'!F59</f>
        <v>2500</v>
      </c>
      <c r="G84" s="593">
        <f>+'[4]NA Sales'!G59</f>
        <v>2500</v>
      </c>
      <c r="H84" s="593">
        <f>+'[4]NA Sales'!H59</f>
        <v>2500</v>
      </c>
      <c r="I84" s="593">
        <f>+'[4]NA Sales'!I59</f>
        <v>2500</v>
      </c>
      <c r="J84" s="593">
        <f>+'[4]NA Sales'!J59</f>
        <v>2500</v>
      </c>
      <c r="K84" s="593">
        <f>+'[4]NA Sales'!K59</f>
        <v>2500</v>
      </c>
      <c r="L84" s="593">
        <f>+'[4]NA Sales'!L59</f>
        <v>2500</v>
      </c>
      <c r="M84" s="593">
        <f>+'[4]NA Sales'!M59</f>
        <v>2500</v>
      </c>
      <c r="N84" s="593">
        <f>+'[4]NA Sales'!N59</f>
        <v>2500</v>
      </c>
      <c r="O84" s="593">
        <f>+'[4]NA Sales'!O59</f>
        <v>2500</v>
      </c>
      <c r="P84" s="593">
        <f>+'[4]NA Sales'!P59</f>
        <v>2500</v>
      </c>
      <c r="Q84" s="594">
        <f t="shared" si="54"/>
        <v>30000</v>
      </c>
      <c r="R84" s="594"/>
      <c r="S84" s="594">
        <f t="shared" si="55"/>
        <v>7500</v>
      </c>
      <c r="T84" s="594">
        <f t="shared" si="56"/>
        <v>7500</v>
      </c>
      <c r="U84" s="594">
        <f t="shared" si="57"/>
        <v>7500</v>
      </c>
      <c r="V84" s="594">
        <f t="shared" si="58"/>
        <v>7500</v>
      </c>
    </row>
    <row r="85" spans="1:23" ht="12.75">
      <c r="A85" s="608"/>
      <c r="B85" s="591">
        <v>69100</v>
      </c>
      <c r="C85" s="596" t="s">
        <v>495</v>
      </c>
      <c r="D85" s="593">
        <f>+'[5]R&amp;D May Comparison'!B59</f>
        <v>62.416666666666664</v>
      </c>
      <c r="E85" s="593">
        <f>+[4]Admin!E59+[4]BOO!E59+[4]NA!E59+[4]Engineering!E64+[4]Marketing!E59+'[4]NA Sales'!E60</f>
        <v>0</v>
      </c>
      <c r="F85" s="593">
        <f>+[4]Admin!F59+[4]BOO!F59+[4]NA!F59+[4]Engineering!F64+[4]Marketing!F59+'[4]NA Sales'!F60</f>
        <v>0</v>
      </c>
      <c r="G85" s="593">
        <f>+[4]Admin!G59+[4]BOO!G59+[4]NA!G59+[4]Engineering!G64+[4]Marketing!G59+'[4]NA Sales'!G60</f>
        <v>0</v>
      </c>
      <c r="H85" s="593">
        <f>+[4]Admin!H59+[4]BOO!H59+[4]NA!H59+[4]Engineering!H64+[4]Marketing!H59+'[4]NA Sales'!H60</f>
        <v>0</v>
      </c>
      <c r="I85" s="593">
        <f>+[4]Admin!I59+[4]BOO!I59+[4]NA!I59+[4]Engineering!I64+[4]Marketing!I59+'[4]NA Sales'!I60</f>
        <v>0</v>
      </c>
      <c r="J85" s="593">
        <f>+[4]Admin!J59+[4]BOO!J59+[4]NA!J59+[4]Engineering!J64+[4]Marketing!J59+'[4]NA Sales'!J60</f>
        <v>0</v>
      </c>
      <c r="K85" s="593">
        <f>+[4]Admin!K59+[4]BOO!K59+[4]NA!K59+[4]Engineering!K64+[4]Marketing!K59+'[4]NA Sales'!K60</f>
        <v>0</v>
      </c>
      <c r="L85" s="593">
        <f>+[4]Admin!L59+[4]BOO!L59+[4]NA!L59+[4]Engineering!L64+[4]Marketing!L59+'[4]NA Sales'!L60</f>
        <v>0</v>
      </c>
      <c r="M85" s="593">
        <f>+[4]Admin!M59+[4]BOO!M59+[4]NA!M59+[4]Engineering!M64+[4]Marketing!M59+'[4]NA Sales'!M60</f>
        <v>0</v>
      </c>
      <c r="N85" s="593">
        <f>+[4]Admin!N59+[4]BOO!N59+[4]NA!N59+[4]Engineering!N64+[4]Marketing!N59+'[4]NA Sales'!N60</f>
        <v>0</v>
      </c>
      <c r="O85" s="593">
        <f>+[4]Admin!O59+[4]BOO!O59+[4]NA!O59+[4]Engineering!O64+[4]Marketing!O59+'[4]NA Sales'!O60</f>
        <v>0</v>
      </c>
      <c r="P85" s="593">
        <f>+[4]Admin!P59+[4]BOO!P59+[4]NA!P59+[4]Engineering!P64+[4]Marketing!P59+'[4]NA Sales'!P60</f>
        <v>0</v>
      </c>
      <c r="Q85" s="594">
        <f t="shared" si="54"/>
        <v>0</v>
      </c>
      <c r="R85" s="594"/>
      <c r="S85" s="594">
        <f t="shared" si="55"/>
        <v>0</v>
      </c>
      <c r="T85" s="594">
        <f t="shared" si="56"/>
        <v>0</v>
      </c>
      <c r="U85" s="594">
        <f t="shared" si="57"/>
        <v>0</v>
      </c>
      <c r="V85" s="594">
        <f t="shared" si="58"/>
        <v>0</v>
      </c>
    </row>
    <row r="86" spans="1:23" ht="12.75">
      <c r="A86" s="608"/>
      <c r="B86" s="591">
        <v>70300</v>
      </c>
      <c r="C86" s="596" t="s">
        <v>498</v>
      </c>
      <c r="D86" s="593">
        <v>0</v>
      </c>
      <c r="E86" s="593">
        <f>+[4]Admin!E62+[4]BOO!E62+[4]NA!E62+[4]Engineering!E67+[4]Marketing!E62+'[4]NA Sales'!E63</f>
        <v>5000</v>
      </c>
      <c r="F86" s="593">
        <f>+[4]Admin!F62+[4]BOO!F62+[4]NA!F62+[4]Engineering!F67+[4]Marketing!F62+'[4]NA Sales'!F63</f>
        <v>5000</v>
      </c>
      <c r="G86" s="593">
        <f>+[4]Admin!G62+[4]BOO!G62+[4]NA!G62+[4]Engineering!G67+[4]Marketing!G62+'[4]NA Sales'!G63</f>
        <v>5000</v>
      </c>
      <c r="H86" s="593">
        <f>+[4]Admin!H62+[4]BOO!H62+[4]NA!H62+[4]Engineering!H67+[4]Marketing!H62+'[4]NA Sales'!H63</f>
        <v>5000</v>
      </c>
      <c r="I86" s="593">
        <f>+[4]Admin!I62+[4]BOO!I62+[4]NA!I62+[4]Engineering!I67+[4]Marketing!I62+'[4]NA Sales'!I63</f>
        <v>15000</v>
      </c>
      <c r="J86" s="593">
        <f>+[4]Admin!J62+[4]BOO!J62+[4]NA!J62+[4]Engineering!J67+[4]Marketing!J62+'[4]NA Sales'!J63</f>
        <v>5000</v>
      </c>
      <c r="K86" s="593">
        <f>+[4]Admin!K62+[4]BOO!K62+[4]NA!K62+[4]Engineering!K67+[4]Marketing!K62+'[4]NA Sales'!K63</f>
        <v>5000</v>
      </c>
      <c r="L86" s="593">
        <f>+[4]Admin!L62+[4]BOO!L62+[4]NA!L62+[4]Engineering!L67+[4]Marketing!L62+'[4]NA Sales'!L63</f>
        <v>5000</v>
      </c>
      <c r="M86" s="593">
        <f>+[4]Admin!M62+[4]BOO!M62+[4]NA!M62+[4]Engineering!M67+[4]Marketing!M62+'[4]NA Sales'!M63</f>
        <v>15000</v>
      </c>
      <c r="N86" s="593">
        <f>+[4]Admin!N62+[4]BOO!N62+[4]NA!N62+[4]Engineering!N67+[4]Marketing!N62+'[4]NA Sales'!N63</f>
        <v>5000</v>
      </c>
      <c r="O86" s="593">
        <f>+[4]Admin!O62+[4]BOO!O62+[4]NA!O62+[4]Engineering!O67+[4]Marketing!O62+'[4]NA Sales'!O63</f>
        <v>5000</v>
      </c>
      <c r="P86" s="593">
        <f>+[4]Admin!P62+[4]BOO!P62+[4]NA!P62+[4]Engineering!P67+[4]Marketing!P62+'[4]NA Sales'!P63</f>
        <v>5000</v>
      </c>
      <c r="Q86" s="594">
        <f t="shared" si="54"/>
        <v>80000</v>
      </c>
      <c r="R86" s="594"/>
      <c r="S86" s="594">
        <f t="shared" si="55"/>
        <v>15000</v>
      </c>
      <c r="T86" s="594">
        <f t="shared" si="56"/>
        <v>25000</v>
      </c>
      <c r="U86" s="594">
        <f t="shared" si="57"/>
        <v>25000</v>
      </c>
      <c r="V86" s="594">
        <f t="shared" si="58"/>
        <v>15000</v>
      </c>
    </row>
    <row r="87" spans="1:23" ht="12.75">
      <c r="A87" s="608"/>
      <c r="B87" s="591">
        <v>70500</v>
      </c>
      <c r="C87" s="596" t="s">
        <v>499</v>
      </c>
      <c r="D87" s="593">
        <v>0</v>
      </c>
      <c r="E87" s="593">
        <f>+[4]Admin!E63+[4]BOO!E63+[4]NA!E63+[4]Engineering!E68+[4]Marketing!E63+'[4]NA Sales'!E64</f>
        <v>0</v>
      </c>
      <c r="F87" s="593">
        <f>+[4]Admin!F63+[4]BOO!F63+[4]NA!F63+[4]Engineering!F68+[4]Marketing!F63+'[4]NA Sales'!F64</f>
        <v>0</v>
      </c>
      <c r="G87" s="593">
        <f>+[4]Admin!G63+[4]BOO!G63+[4]NA!G63+[4]Engineering!G68+[4]Marketing!G63+'[4]NA Sales'!G64</f>
        <v>0</v>
      </c>
      <c r="H87" s="593">
        <f>+[4]Admin!H63+[4]BOO!H63+[4]NA!H63+[4]Engineering!H68+[4]Marketing!H63+'[4]NA Sales'!H64</f>
        <v>0</v>
      </c>
      <c r="I87" s="593">
        <f>+[4]Admin!I63+[4]BOO!I63+[4]NA!I63+[4]Engineering!I68+[4]Marketing!I63+'[4]NA Sales'!I64</f>
        <v>0</v>
      </c>
      <c r="J87" s="593">
        <f>+[4]Admin!J63+[4]BOO!J63+[4]NA!J63+[4]Engineering!J68+[4]Marketing!J63+'[4]NA Sales'!J64</f>
        <v>0</v>
      </c>
      <c r="K87" s="593">
        <f>+[4]Admin!K63+[4]BOO!K63+[4]NA!K63+[4]Engineering!K68+[4]Marketing!K63+'[4]NA Sales'!K64</f>
        <v>0</v>
      </c>
      <c r="L87" s="593">
        <f>+[4]Admin!L63+[4]BOO!L63+[4]NA!L63+[4]Engineering!L68+[4]Marketing!L63+'[4]NA Sales'!L64</f>
        <v>0</v>
      </c>
      <c r="M87" s="593">
        <f>+[4]Admin!M63+[4]BOO!M63+[4]NA!M63+[4]Engineering!M68+[4]Marketing!M63+'[4]NA Sales'!M64</f>
        <v>0</v>
      </c>
      <c r="N87" s="593">
        <f>+[4]Admin!N63+[4]BOO!N63+[4]NA!N63+[4]Engineering!N68+[4]Marketing!N63+'[4]NA Sales'!N64</f>
        <v>0</v>
      </c>
      <c r="O87" s="593">
        <f>+[4]Admin!O63+[4]BOO!O63+[4]NA!O63+[4]Engineering!O68+[4]Marketing!O63+'[4]NA Sales'!O64</f>
        <v>0</v>
      </c>
      <c r="P87" s="593">
        <f>+[4]Admin!P63+[4]BOO!P63+[4]NA!P63+[4]Engineering!P68+[4]Marketing!P63+'[4]NA Sales'!P64</f>
        <v>0</v>
      </c>
      <c r="Q87" s="594">
        <f t="shared" si="54"/>
        <v>0</v>
      </c>
      <c r="R87" s="594"/>
      <c r="S87" s="594">
        <f t="shared" si="55"/>
        <v>0</v>
      </c>
      <c r="T87" s="594">
        <f t="shared" si="56"/>
        <v>0</v>
      </c>
      <c r="U87" s="594">
        <f t="shared" si="57"/>
        <v>0</v>
      </c>
      <c r="V87" s="594">
        <f t="shared" si="58"/>
        <v>0</v>
      </c>
    </row>
    <row r="88" spans="1:23" ht="12.75">
      <c r="A88" s="608"/>
      <c r="B88" s="591">
        <v>70600</v>
      </c>
      <c r="C88" s="596" t="s">
        <v>500</v>
      </c>
      <c r="D88" s="593">
        <v>0</v>
      </c>
      <c r="E88" s="593">
        <f>+[4]Admin!E64+[4]BOO!E64+[4]NA!E64+[4]Engineering!E69+[4]Marketing!E64+'[4]NA Sales'!E65</f>
        <v>0</v>
      </c>
      <c r="F88" s="593">
        <f>+[4]Admin!F64+[4]BOO!F64+[4]NA!F64+[4]Engineering!F69+[4]Marketing!F64+'[4]NA Sales'!F65</f>
        <v>0</v>
      </c>
      <c r="G88" s="593">
        <f>+[4]Admin!G64+[4]BOO!G64+[4]NA!G64+[4]Engineering!G69+[4]Marketing!G64+'[4]NA Sales'!G65</f>
        <v>0</v>
      </c>
      <c r="H88" s="593">
        <f>+[4]Admin!H64+[4]BOO!H64+[4]NA!H64+[4]Engineering!H69+[4]Marketing!H64+'[4]NA Sales'!H65</f>
        <v>0</v>
      </c>
      <c r="I88" s="593">
        <f>+[4]Admin!I64+[4]BOO!I64+[4]NA!I64+[4]Engineering!I69+[4]Marketing!I64+'[4]NA Sales'!I65</f>
        <v>0</v>
      </c>
      <c r="J88" s="593">
        <f>+[4]Admin!J64+[4]BOO!J64+[4]NA!J64+[4]Engineering!J69+[4]Marketing!J64+'[4]NA Sales'!J65</f>
        <v>0</v>
      </c>
      <c r="K88" s="593">
        <f>+[4]Admin!K64+[4]BOO!K64+[4]NA!K64+[4]Engineering!K69+[4]Marketing!K64+'[4]NA Sales'!K65</f>
        <v>0</v>
      </c>
      <c r="L88" s="593">
        <f>+[4]Admin!L64+[4]BOO!L64+[4]NA!L64+[4]Engineering!L69+[4]Marketing!L64+'[4]NA Sales'!L65</f>
        <v>4000</v>
      </c>
      <c r="M88" s="593">
        <f>+[4]Admin!M64+[4]BOO!M64+[4]NA!M64+[4]Engineering!M69+[4]Marketing!M64+'[4]NA Sales'!M65</f>
        <v>0</v>
      </c>
      <c r="N88" s="593">
        <f>+[4]Admin!N64+[4]BOO!N64+[4]NA!N64+[4]Engineering!N69+[4]Marketing!N64+'[4]NA Sales'!N65</f>
        <v>0</v>
      </c>
      <c r="O88" s="593">
        <f>+[4]Admin!O64+[4]BOO!O64+[4]NA!O64+[4]Engineering!O69+[4]Marketing!O64+'[4]NA Sales'!O65</f>
        <v>0</v>
      </c>
      <c r="P88" s="593">
        <f>+[4]Admin!P64+[4]BOO!P64+[4]NA!P64+[4]Engineering!P69+[4]Marketing!P64+'[4]NA Sales'!P65</f>
        <v>0</v>
      </c>
      <c r="Q88" s="594">
        <f t="shared" si="54"/>
        <v>4000</v>
      </c>
      <c r="R88" s="594"/>
      <c r="S88" s="594">
        <f t="shared" si="55"/>
        <v>0</v>
      </c>
      <c r="T88" s="594">
        <f t="shared" si="56"/>
        <v>0</v>
      </c>
      <c r="U88" s="594">
        <f t="shared" si="57"/>
        <v>4000</v>
      </c>
      <c r="V88" s="594">
        <f t="shared" si="58"/>
        <v>0</v>
      </c>
    </row>
    <row r="89" spans="1:23" ht="12.75">
      <c r="A89" s="608"/>
      <c r="B89" s="591"/>
      <c r="C89" s="596" t="s">
        <v>501</v>
      </c>
      <c r="D89" s="593" t="e">
        <f t="shared" ref="D89:P89" si="59">SUM(D81:D88)</f>
        <v>#REF!</v>
      </c>
      <c r="E89" s="593">
        <f t="shared" si="59"/>
        <v>7750</v>
      </c>
      <c r="F89" s="593">
        <f t="shared" si="59"/>
        <v>11950</v>
      </c>
      <c r="G89" s="593">
        <f t="shared" si="59"/>
        <v>7950</v>
      </c>
      <c r="H89" s="593">
        <f t="shared" si="59"/>
        <v>7750</v>
      </c>
      <c r="I89" s="593">
        <f t="shared" si="59"/>
        <v>19750</v>
      </c>
      <c r="J89" s="593">
        <f t="shared" si="59"/>
        <v>10750</v>
      </c>
      <c r="K89" s="593">
        <f t="shared" si="59"/>
        <v>7750</v>
      </c>
      <c r="L89" s="593">
        <f t="shared" si="59"/>
        <v>16150</v>
      </c>
      <c r="M89" s="593">
        <f t="shared" si="59"/>
        <v>17750</v>
      </c>
      <c r="N89" s="593">
        <f t="shared" si="59"/>
        <v>7750</v>
      </c>
      <c r="O89" s="593">
        <f t="shared" si="59"/>
        <v>9950</v>
      </c>
      <c r="P89" s="593">
        <f t="shared" si="59"/>
        <v>8000</v>
      </c>
      <c r="Q89" s="594">
        <f t="shared" si="54"/>
        <v>133250</v>
      </c>
      <c r="R89" s="594"/>
      <c r="S89" s="594">
        <f t="shared" si="55"/>
        <v>27650</v>
      </c>
      <c r="T89" s="594">
        <f t="shared" si="56"/>
        <v>38250</v>
      </c>
      <c r="U89" s="594">
        <f t="shared" si="57"/>
        <v>41650</v>
      </c>
      <c r="V89" s="594">
        <f t="shared" si="58"/>
        <v>25700</v>
      </c>
      <c r="W89" s="594"/>
    </row>
    <row r="90" spans="1:23" ht="12.75">
      <c r="A90" s="608"/>
      <c r="B90" s="591"/>
      <c r="C90" s="596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4"/>
      <c r="R90" s="594"/>
      <c r="S90" s="594"/>
      <c r="T90" s="594"/>
      <c r="U90" s="594"/>
      <c r="V90" s="594"/>
    </row>
    <row r="91" spans="1:23" ht="12.75">
      <c r="A91" s="608"/>
      <c r="B91" s="591">
        <v>65500</v>
      </c>
      <c r="C91" s="596" t="s">
        <v>502</v>
      </c>
      <c r="D91" s="593">
        <v>0</v>
      </c>
      <c r="E91" s="593">
        <f>+[4]Admin!E67+[4]BOO!E67+[4]NA!E67+[4]Engineering!E72+[4]Marketing!E67+'[4]NA Sales'!E68</f>
        <v>750</v>
      </c>
      <c r="F91" s="593">
        <f>+[4]Admin!F67+[4]BOO!F67+[4]NA!F67+[4]Engineering!F72+[4]Marketing!F67+'[4]NA Sales'!F68</f>
        <v>750</v>
      </c>
      <c r="G91" s="593">
        <f>+[4]Admin!G67+[4]BOO!G67+[4]NA!G67+[4]Engineering!G72+[4]Marketing!G67+'[4]NA Sales'!G68</f>
        <v>750</v>
      </c>
      <c r="H91" s="593">
        <f>+[4]Admin!H67+[4]BOO!H67+[4]NA!H67+[4]Engineering!H72+[4]Marketing!H67+'[4]NA Sales'!H68</f>
        <v>750</v>
      </c>
      <c r="I91" s="593">
        <f>+[4]Admin!I67+[4]BOO!I67+[4]NA!I67+[4]Engineering!I72+[4]Marketing!I67+'[4]NA Sales'!I68</f>
        <v>750</v>
      </c>
      <c r="J91" s="593">
        <f>+[4]Admin!J67+[4]BOO!J67+[4]NA!J67+[4]Engineering!J72+[4]Marketing!J67+'[4]NA Sales'!J68</f>
        <v>750</v>
      </c>
      <c r="K91" s="593">
        <f>+[4]Admin!K67+[4]BOO!K67+[4]NA!K67+[4]Engineering!K72+[4]Marketing!K67+'[4]NA Sales'!K68</f>
        <v>750</v>
      </c>
      <c r="L91" s="593">
        <f>+[4]Admin!L67+[4]BOO!L67+[4]NA!L67+[4]Engineering!L72+[4]Marketing!L67+'[4]NA Sales'!L68</f>
        <v>750</v>
      </c>
      <c r="M91" s="593">
        <f>+[4]Admin!M67+[4]BOO!M67+[4]NA!M67+[4]Engineering!M72+[4]Marketing!M67+'[4]NA Sales'!M68</f>
        <v>750</v>
      </c>
      <c r="N91" s="593">
        <f>+[4]Admin!N67+[4]BOO!N67+[4]NA!N67+[4]Engineering!N72+[4]Marketing!N67+'[4]NA Sales'!N68</f>
        <v>750</v>
      </c>
      <c r="O91" s="593">
        <f>+[4]Admin!O67+[4]BOO!O67+[4]NA!O67+[4]Engineering!O72+[4]Marketing!O67+'[4]NA Sales'!O68</f>
        <v>750</v>
      </c>
      <c r="P91" s="593">
        <f>+[4]Admin!P67+[4]BOO!P67+[4]NA!P67+[4]Engineering!P72+[4]Marketing!P67+'[4]NA Sales'!P68</f>
        <v>750</v>
      </c>
      <c r="Q91" s="594">
        <f t="shared" ref="Q91:Q96" si="60">SUM(E91:P91)</f>
        <v>9000</v>
      </c>
      <c r="R91" s="594"/>
      <c r="S91" s="594">
        <f t="shared" ref="S91:S96" si="61">SUM(E91:G91)</f>
        <v>2250</v>
      </c>
      <c r="T91" s="594">
        <f t="shared" ref="T91:T96" si="62">SUM(H91:J91)</f>
        <v>2250</v>
      </c>
      <c r="U91" s="594">
        <f t="shared" ref="U91:U96" si="63">SUM(K91:M91)</f>
        <v>2250</v>
      </c>
      <c r="V91" s="594">
        <f t="shared" ref="V91:V96" si="64">SUM(N91:P91)</f>
        <v>2250</v>
      </c>
    </row>
    <row r="92" spans="1:23" ht="12.75">
      <c r="A92" s="608"/>
      <c r="B92" s="591">
        <v>66100</v>
      </c>
      <c r="C92" s="596" t="s">
        <v>503</v>
      </c>
      <c r="D92" s="593">
        <v>0</v>
      </c>
      <c r="E92" s="593">
        <f>+[4]Admin!E68+[4]BOO!E68+[4]NA!E68+[4]Engineering!E73+[4]Marketing!E68+'[4]NA Sales'!E69</f>
        <v>1950</v>
      </c>
      <c r="F92" s="593">
        <f>+[4]Admin!F68+[4]BOO!F68+[4]NA!F68+[4]Engineering!F73+[4]Marketing!F68+'[4]NA Sales'!F69</f>
        <v>1950</v>
      </c>
      <c r="G92" s="593">
        <f>+[4]Admin!G68+[4]BOO!G68+[4]NA!G68+[4]Engineering!G73+[4]Marketing!G68+'[4]NA Sales'!G69</f>
        <v>1950</v>
      </c>
      <c r="H92" s="593">
        <f>+[4]Admin!H68+[4]BOO!H68+[4]NA!H68+[4]Engineering!H73+[4]Marketing!H68+'[4]NA Sales'!H69</f>
        <v>1950</v>
      </c>
      <c r="I92" s="593">
        <f>+[4]Admin!I68+[4]BOO!I68+[4]NA!I68+[4]Engineering!I73+[4]Marketing!I68+'[4]NA Sales'!I69</f>
        <v>1950</v>
      </c>
      <c r="J92" s="593">
        <f>+[4]Admin!J68+[4]BOO!J68+[4]NA!J68+[4]Engineering!J73+[4]Marketing!J68+'[4]NA Sales'!J69</f>
        <v>1950</v>
      </c>
      <c r="K92" s="593">
        <f>+[4]Admin!K68+[4]BOO!K68+[4]NA!K68+[4]Engineering!K73+[4]Marketing!K68+'[4]NA Sales'!K69</f>
        <v>1950</v>
      </c>
      <c r="L92" s="593">
        <f>+[4]Admin!L68+[4]BOO!L68+[4]NA!L68+[4]Engineering!L73+[4]Marketing!L68+'[4]NA Sales'!L69</f>
        <v>1950</v>
      </c>
      <c r="M92" s="593">
        <f>+[4]Admin!M68+[4]BOO!M68+[4]NA!M68+[4]Engineering!M73+[4]Marketing!M68+'[4]NA Sales'!M69</f>
        <v>1950</v>
      </c>
      <c r="N92" s="593">
        <f>+[4]Admin!N68+[4]BOO!N68+[4]NA!N68+[4]Engineering!N73+[4]Marketing!N68+'[4]NA Sales'!N69</f>
        <v>1950</v>
      </c>
      <c r="O92" s="593">
        <f>+[4]Admin!O68+[4]BOO!O68+[4]NA!O68+[4]Engineering!O73+[4]Marketing!O68+'[4]NA Sales'!O69</f>
        <v>1950</v>
      </c>
      <c r="P92" s="593">
        <f>+[4]Admin!P68+[4]BOO!P68+[4]NA!P68+[4]Engineering!P73+[4]Marketing!P68+'[4]NA Sales'!P69</f>
        <v>1950</v>
      </c>
      <c r="Q92" s="594">
        <f t="shared" si="60"/>
        <v>23400</v>
      </c>
      <c r="R92" s="594"/>
      <c r="S92" s="594">
        <f t="shared" si="61"/>
        <v>5850</v>
      </c>
      <c r="T92" s="594">
        <f t="shared" si="62"/>
        <v>5850</v>
      </c>
      <c r="U92" s="594">
        <f t="shared" si="63"/>
        <v>5850</v>
      </c>
      <c r="V92" s="594">
        <f t="shared" si="64"/>
        <v>5850</v>
      </c>
    </row>
    <row r="93" spans="1:23" ht="12.75">
      <c r="A93" s="608"/>
      <c r="B93" s="591">
        <v>72800</v>
      </c>
      <c r="C93" s="596" t="s">
        <v>504</v>
      </c>
      <c r="D93" s="593">
        <v>0</v>
      </c>
      <c r="E93" s="593">
        <f>+[4]Admin!E69+[4]BOO!E69+[4]NA!E69+[4]Engineering!E74+[4]Marketing!E69+'[4]NA Sales'!E70</f>
        <v>500</v>
      </c>
      <c r="F93" s="593">
        <f>+[4]Admin!F69+[4]BOO!F69+[4]NA!F69+[4]Engineering!F74+[4]Marketing!F69+'[4]NA Sales'!F70</f>
        <v>2500</v>
      </c>
      <c r="G93" s="593">
        <f>+[4]Admin!G69+[4]BOO!G69+[4]NA!G69+[4]Engineering!G74+[4]Marketing!G69+'[4]NA Sales'!G70</f>
        <v>2500</v>
      </c>
      <c r="H93" s="593">
        <f>+[4]Admin!H69+[4]BOO!H69+[4]NA!H69+[4]Engineering!H74+[4]Marketing!H69+'[4]NA Sales'!H70</f>
        <v>2500</v>
      </c>
      <c r="I93" s="593">
        <f>+[4]Admin!I69+[4]BOO!I69+[4]NA!I69+[4]Engineering!I74+[4]Marketing!I69+'[4]NA Sales'!I70</f>
        <v>2500</v>
      </c>
      <c r="J93" s="593">
        <f>+[4]Admin!J69+[4]BOO!J69+[4]NA!J69+[4]Engineering!J74+[4]Marketing!J69+'[4]NA Sales'!J70</f>
        <v>2500</v>
      </c>
      <c r="K93" s="593">
        <f>+[4]Admin!K69+[4]BOO!K69+[4]NA!K69+[4]Engineering!K74+[4]Marketing!K69+'[4]NA Sales'!K70</f>
        <v>2500</v>
      </c>
      <c r="L93" s="593">
        <f>+[4]Admin!L69+[4]BOO!L69+[4]NA!L69+[4]Engineering!L74+[4]Marketing!L69+'[4]NA Sales'!L70</f>
        <v>2500</v>
      </c>
      <c r="M93" s="593">
        <f>+[4]Admin!M69+[4]BOO!M69+[4]NA!M69+[4]Engineering!M74+[4]Marketing!M69+'[4]NA Sales'!M70</f>
        <v>2500</v>
      </c>
      <c r="N93" s="593">
        <f>+[4]Admin!N69+[4]BOO!N69+[4]NA!N69+[4]Engineering!N74+[4]Marketing!N69+'[4]NA Sales'!N70</f>
        <v>2500</v>
      </c>
      <c r="O93" s="593">
        <f>+[4]Admin!O69+[4]BOO!O69+[4]NA!O69+[4]Engineering!O74+[4]Marketing!O69+'[4]NA Sales'!O70</f>
        <v>2500</v>
      </c>
      <c r="P93" s="593">
        <f>+[4]Admin!P69+[4]BOO!P69+[4]NA!P69+[4]Engineering!P74+[4]Marketing!P69+'[4]NA Sales'!P70</f>
        <v>2500</v>
      </c>
      <c r="Q93" s="594">
        <f t="shared" si="60"/>
        <v>28000</v>
      </c>
      <c r="R93" s="594"/>
      <c r="S93" s="594">
        <f t="shared" si="61"/>
        <v>5500</v>
      </c>
      <c r="T93" s="594">
        <f t="shared" si="62"/>
        <v>7500</v>
      </c>
      <c r="U93" s="594">
        <f t="shared" si="63"/>
        <v>7500</v>
      </c>
      <c r="V93" s="594">
        <f t="shared" si="64"/>
        <v>7500</v>
      </c>
    </row>
    <row r="94" spans="1:23" ht="12.75">
      <c r="A94" s="608"/>
      <c r="B94" s="591">
        <v>75100</v>
      </c>
      <c r="C94" s="596" t="s">
        <v>505</v>
      </c>
      <c r="D94" s="593">
        <v>0</v>
      </c>
      <c r="E94" s="593">
        <f>+[4]Admin!E70+[4]BOO!E70+[4]NA!E70+[4]Engineering!E75+[4]Marketing!E70+'[4]NA Sales'!E71</f>
        <v>1300</v>
      </c>
      <c r="F94" s="593">
        <f>+[4]Admin!F70+[4]BOO!F70+[4]NA!F70+[4]Engineering!F75+[4]Marketing!F70+'[4]NA Sales'!F71</f>
        <v>1300</v>
      </c>
      <c r="G94" s="593">
        <f>+[4]Admin!G70+[4]BOO!G70+[4]NA!G70+[4]Engineering!G75+[4]Marketing!G70+'[4]NA Sales'!G71</f>
        <v>1300</v>
      </c>
      <c r="H94" s="593">
        <f>+[4]Admin!H70+[4]BOO!H70+[4]NA!H70+[4]Engineering!H75+[4]Marketing!H70+'[4]NA Sales'!H71</f>
        <v>1300</v>
      </c>
      <c r="I94" s="593">
        <f>+[4]Admin!I70+[4]BOO!I70+[4]NA!I70+[4]Engineering!I75+[4]Marketing!I70+'[4]NA Sales'!I71</f>
        <v>1300</v>
      </c>
      <c r="J94" s="593">
        <f>+[4]Admin!J70+[4]BOO!J70+[4]NA!J70+[4]Engineering!J75+[4]Marketing!J70+'[4]NA Sales'!J71</f>
        <v>1300</v>
      </c>
      <c r="K94" s="593">
        <f>+[4]Admin!K70+[4]BOO!K70+[4]NA!K70+[4]Engineering!K75+[4]Marketing!K70+'[4]NA Sales'!K71</f>
        <v>1300</v>
      </c>
      <c r="L94" s="593">
        <f>+[4]Admin!L70+[4]BOO!L70+[4]NA!L70+[4]Engineering!L75+[4]Marketing!L70+'[4]NA Sales'!L71</f>
        <v>1300</v>
      </c>
      <c r="M94" s="593">
        <f>+[4]Admin!M70+[4]BOO!M70+[4]NA!M70+[4]Engineering!M75+[4]Marketing!M70+'[4]NA Sales'!M71</f>
        <v>1300</v>
      </c>
      <c r="N94" s="593">
        <f>+[4]Admin!N70+[4]BOO!N70+[4]NA!N70+[4]Engineering!N75+[4]Marketing!N70+'[4]NA Sales'!N71</f>
        <v>1300</v>
      </c>
      <c r="O94" s="593">
        <f>+[4]Admin!O70+[4]BOO!O70+[4]NA!O70+[4]Engineering!O75+[4]Marketing!O70+'[4]NA Sales'!O71</f>
        <v>1300</v>
      </c>
      <c r="P94" s="593">
        <f>+[4]Admin!P70+[4]BOO!P70+[4]NA!P70+[4]Engineering!P75+[4]Marketing!P70+'[4]NA Sales'!P71</f>
        <v>1300</v>
      </c>
      <c r="Q94" s="594">
        <f t="shared" si="60"/>
        <v>15600</v>
      </c>
      <c r="R94" s="594"/>
      <c r="S94" s="594">
        <f t="shared" si="61"/>
        <v>3900</v>
      </c>
      <c r="T94" s="594">
        <f t="shared" si="62"/>
        <v>3900</v>
      </c>
      <c r="U94" s="594">
        <f t="shared" si="63"/>
        <v>3900</v>
      </c>
      <c r="V94" s="594">
        <f t="shared" si="64"/>
        <v>3900</v>
      </c>
    </row>
    <row r="95" spans="1:23" ht="12.75">
      <c r="A95" s="608"/>
      <c r="B95" s="591">
        <v>78100</v>
      </c>
      <c r="C95" s="596" t="s">
        <v>506</v>
      </c>
      <c r="D95" s="593">
        <v>0</v>
      </c>
      <c r="E95" s="593">
        <f>+[4]Admin!E71+[4]BOO!E71+[4]NA!E71+[4]Engineering!E76+[4]Marketing!E71+'[4]NA Sales'!E72</f>
        <v>0</v>
      </c>
      <c r="F95" s="593">
        <f>+[4]Admin!F71+[4]BOO!F71+[4]NA!F71+[4]Engineering!F76+[4]Marketing!F71+'[4]NA Sales'!F72</f>
        <v>0</v>
      </c>
      <c r="G95" s="593">
        <f>+[4]Admin!G71+[4]BOO!G71+[4]NA!G71+[4]Engineering!G76+[4]Marketing!G71+'[4]NA Sales'!G72</f>
        <v>0</v>
      </c>
      <c r="H95" s="593">
        <f>+[4]Admin!H71+[4]BOO!H71+[4]NA!H71+[4]Engineering!H76+[4]Marketing!H71+'[4]NA Sales'!H72</f>
        <v>0</v>
      </c>
      <c r="I95" s="593">
        <f>+[4]Admin!I71+[4]BOO!I71+[4]NA!I71+[4]Engineering!I76+[4]Marketing!I71+'[4]NA Sales'!I72</f>
        <v>0</v>
      </c>
      <c r="J95" s="593">
        <f>+[4]Admin!J71+[4]BOO!J71+[4]NA!J71+[4]Engineering!J76+[4]Marketing!J71+'[4]NA Sales'!J72</f>
        <v>0</v>
      </c>
      <c r="K95" s="593">
        <f>+[4]Admin!K71+[4]BOO!K71+[4]NA!K71+[4]Engineering!K76+[4]Marketing!K71+'[4]NA Sales'!K72</f>
        <v>0</v>
      </c>
      <c r="L95" s="593">
        <f>+[4]Admin!L71+[4]BOO!L71+[4]NA!L71+[4]Engineering!L76+[4]Marketing!L71+'[4]NA Sales'!L72</f>
        <v>0</v>
      </c>
      <c r="M95" s="593">
        <f>+[4]Admin!M71+[4]BOO!M71+[4]NA!M71+[4]Engineering!M76+[4]Marketing!M71+'[4]NA Sales'!M72</f>
        <v>0</v>
      </c>
      <c r="N95" s="593">
        <f>+[4]Admin!N71+[4]BOO!N71+[4]NA!N71+[4]Engineering!N76+[4]Marketing!N71+'[4]NA Sales'!N72</f>
        <v>0</v>
      </c>
      <c r="O95" s="593">
        <f>+[4]Admin!O71+[4]BOO!O71+[4]NA!O71+[4]Engineering!O76+[4]Marketing!O71+'[4]NA Sales'!O72</f>
        <v>0</v>
      </c>
      <c r="P95" s="593">
        <f>+[4]Admin!P71+[4]BOO!P71+[4]NA!P71+[4]Engineering!P76+[4]Marketing!P71+'[4]NA Sales'!P72</f>
        <v>0</v>
      </c>
      <c r="Q95" s="594">
        <f t="shared" si="60"/>
        <v>0</v>
      </c>
      <c r="R95" s="594"/>
      <c r="S95" s="594">
        <f t="shared" si="61"/>
        <v>0</v>
      </c>
      <c r="T95" s="594">
        <f t="shared" si="62"/>
        <v>0</v>
      </c>
      <c r="U95" s="594">
        <f t="shared" si="63"/>
        <v>0</v>
      </c>
      <c r="V95" s="594">
        <f t="shared" si="64"/>
        <v>0</v>
      </c>
    </row>
    <row r="96" spans="1:23" ht="12.75">
      <c r="A96" s="595"/>
      <c r="B96" s="611"/>
      <c r="C96" s="596" t="s">
        <v>507</v>
      </c>
      <c r="D96" s="593">
        <f t="shared" ref="D96:P96" si="65">SUM(D91:D95)</f>
        <v>0</v>
      </c>
      <c r="E96" s="593">
        <f t="shared" si="65"/>
        <v>4500</v>
      </c>
      <c r="F96" s="593">
        <f t="shared" si="65"/>
        <v>6500</v>
      </c>
      <c r="G96" s="593">
        <f t="shared" si="65"/>
        <v>6500</v>
      </c>
      <c r="H96" s="593">
        <f t="shared" si="65"/>
        <v>6500</v>
      </c>
      <c r="I96" s="593">
        <f t="shared" si="65"/>
        <v>6500</v>
      </c>
      <c r="J96" s="593">
        <f t="shared" si="65"/>
        <v>6500</v>
      </c>
      <c r="K96" s="593">
        <f t="shared" si="65"/>
        <v>6500</v>
      </c>
      <c r="L96" s="593">
        <f t="shared" si="65"/>
        <v>6500</v>
      </c>
      <c r="M96" s="593">
        <f t="shared" si="65"/>
        <v>6500</v>
      </c>
      <c r="N96" s="593">
        <f t="shared" si="65"/>
        <v>6500</v>
      </c>
      <c r="O96" s="593">
        <f t="shared" si="65"/>
        <v>6500</v>
      </c>
      <c r="P96" s="593">
        <f t="shared" si="65"/>
        <v>6500</v>
      </c>
      <c r="Q96" s="594">
        <f t="shared" si="60"/>
        <v>76000</v>
      </c>
      <c r="R96" s="594"/>
      <c r="S96" s="594">
        <f t="shared" si="61"/>
        <v>17500</v>
      </c>
      <c r="T96" s="594">
        <f t="shared" si="62"/>
        <v>19500</v>
      </c>
      <c r="U96" s="594">
        <f t="shared" si="63"/>
        <v>19500</v>
      </c>
      <c r="V96" s="594">
        <f t="shared" si="64"/>
        <v>19500</v>
      </c>
    </row>
    <row r="97" spans="1:22">
      <c r="A97" s="595"/>
      <c r="B97" s="591"/>
      <c r="D97" s="593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  <c r="U97" s="594"/>
      <c r="V97" s="594"/>
    </row>
    <row r="98" spans="1:22">
      <c r="A98" s="640" t="s">
        <v>513</v>
      </c>
      <c r="B98" s="614"/>
      <c r="C98" s="615"/>
      <c r="D98" s="616" t="e">
        <f>+D109+D96+D89+D79+D74+D68+D60+D53+D39+D32+D45</f>
        <v>#REF!</v>
      </c>
      <c r="E98" s="616">
        <f>+E96+E89+E79+E74+E68+E60+E53+E39+E32</f>
        <v>255565.29769230768</v>
      </c>
      <c r="F98" s="616">
        <f t="shared" ref="F98:P98" si="66">+F96+F89+F79+F74+F68+F60+F53+F39+F32</f>
        <v>248534.6976923077</v>
      </c>
      <c r="G98" s="616">
        <f t="shared" si="66"/>
        <v>250086.09769230767</v>
      </c>
      <c r="H98" s="616">
        <f t="shared" si="66"/>
        <v>245826.09769230767</v>
      </c>
      <c r="I98" s="616">
        <f t="shared" si="66"/>
        <v>243766.49769230769</v>
      </c>
      <c r="J98" s="616">
        <f t="shared" si="66"/>
        <v>261152.1596923077</v>
      </c>
      <c r="K98" s="616">
        <f t="shared" si="66"/>
        <v>242420.71869230771</v>
      </c>
      <c r="L98" s="616">
        <f t="shared" si="66"/>
        <v>248509.5186923077</v>
      </c>
      <c r="M98" s="616">
        <f t="shared" si="66"/>
        <v>270382.2732021116</v>
      </c>
      <c r="N98" s="616">
        <f t="shared" si="66"/>
        <v>245647.87320211163</v>
      </c>
      <c r="O98" s="616">
        <f t="shared" si="66"/>
        <v>245543.7826792358</v>
      </c>
      <c r="P98" s="616">
        <f t="shared" si="66"/>
        <v>246303.18267923582</v>
      </c>
      <c r="Q98" s="616">
        <f>+Q109+Q96+Q89+Q79+Q74+Q68+Q60+Q53+Q39+Q32</f>
        <v>3042295.067301156</v>
      </c>
      <c r="R98" s="605"/>
      <c r="S98" s="616">
        <f>+S109+S96+S89+S79+S74+S68+S60+S53+S39+S32</f>
        <v>761430.92974358972</v>
      </c>
      <c r="T98" s="616">
        <f>+T109+T96+T89+T79+T74+T68+T60+T53+T39+T32</f>
        <v>760586.73507692316</v>
      </c>
      <c r="U98" s="616">
        <f>+U109+U96+U89+U79+U74+U68+U60+U53+U39+U32</f>
        <v>771808.63836450479</v>
      </c>
      <c r="V98" s="616">
        <f>+V109+V96+V89+V79+V74+V68+V60+V53+V39+V32</f>
        <v>748468.7641161388</v>
      </c>
    </row>
    <row r="99" spans="1:22">
      <c r="A99" s="595"/>
      <c r="B99" s="591"/>
      <c r="C99" s="592"/>
      <c r="D99" s="593"/>
      <c r="E99" s="594"/>
      <c r="F99" s="594"/>
      <c r="G99" s="594"/>
      <c r="H99" s="594"/>
      <c r="I99" s="594"/>
      <c r="J99" s="594"/>
      <c r="K99" s="594"/>
      <c r="L99" s="594"/>
      <c r="M99" s="594"/>
      <c r="N99" s="594"/>
      <c r="O99" s="594"/>
      <c r="P99" s="594"/>
      <c r="Q99" s="594"/>
      <c r="R99" s="594"/>
    </row>
    <row r="100" spans="1:22">
      <c r="A100" s="595"/>
      <c r="B100" s="591" t="s">
        <v>514</v>
      </c>
      <c r="C100" s="592" t="s">
        <v>515</v>
      </c>
      <c r="D100" s="593"/>
      <c r="E100" s="594">
        <f>+[4]Admin!E81+[4]BOO!E81+[4]NA!E81+[4]Engineering!E86+[4]Marketing!E82+'[4]NA Sales'!E83</f>
        <v>18</v>
      </c>
      <c r="F100" s="594">
        <f>+[4]Admin!F81+[4]BOO!F81+[4]NA!F81+[4]Engineering!F86+[4]Marketing!F82+'[4]NA Sales'!F83</f>
        <v>19</v>
      </c>
      <c r="G100" s="594">
        <f>+[4]Admin!G81+[4]BOO!G81+[4]NA!G81+[4]Engineering!G86+[4]Marketing!G82+'[4]NA Sales'!G83</f>
        <v>19</v>
      </c>
      <c r="H100" s="594">
        <f>+[4]Admin!H81+[4]BOO!H81+[4]NA!H81+[4]Engineering!H86+[4]Marketing!H82+'[4]NA Sales'!H83</f>
        <v>20</v>
      </c>
      <c r="I100" s="594">
        <f>+[4]Admin!I81+[4]BOO!I81+[4]NA!I81+[4]Engineering!I86+[4]Marketing!I82+'[4]NA Sales'!I83</f>
        <v>19</v>
      </c>
      <c r="J100" s="594">
        <f>+[4]Admin!J81+[4]BOO!J81+[4]NA!J81+[4]Engineering!J86+[4]Marketing!J82+'[4]NA Sales'!J83</f>
        <v>19</v>
      </c>
      <c r="K100" s="594">
        <f>+[4]Admin!K81+[4]BOO!K81+[4]NA!K81+[4]Engineering!K86+[4]Marketing!K82+'[4]NA Sales'!K83</f>
        <v>20</v>
      </c>
      <c r="L100" s="594">
        <f>+[4]Admin!L81+[4]BOO!L81+[4]NA!L81+[4]Engineering!L86+[4]Marketing!L82+'[4]NA Sales'!L83</f>
        <v>20</v>
      </c>
      <c r="M100" s="594">
        <f>+[4]Admin!M81+[4]BOO!M81+[4]NA!M81+[4]Engineering!M86+[4]Marketing!M82+'[4]NA Sales'!M83</f>
        <v>20</v>
      </c>
      <c r="N100" s="594">
        <f>+[4]Admin!N81+[4]BOO!N81+[4]NA!N81+[4]Engineering!N86+[4]Marketing!N82+'[4]NA Sales'!N83</f>
        <v>20</v>
      </c>
      <c r="O100" s="594">
        <f>+[4]Admin!O81+[4]BOO!O81+[4]NA!O81+[4]Engineering!O86+[4]Marketing!O82+'[4]NA Sales'!O83</f>
        <v>20</v>
      </c>
      <c r="P100" s="594">
        <f>+[4]Admin!P81+[4]BOO!P81+[4]NA!P81+[4]Engineering!P86+[4]Marketing!P82+'[4]NA Sales'!P83</f>
        <v>20</v>
      </c>
      <c r="Q100" s="594">
        <f>SUM(E100:P100)/12</f>
        <v>19.5</v>
      </c>
      <c r="R100" s="594"/>
      <c r="S100" s="594">
        <f>SUM(E100:G100)/3</f>
        <v>18.666666666666668</v>
      </c>
      <c r="T100" s="594">
        <f>SUM(H100:J100)/3</f>
        <v>19.333333333333332</v>
      </c>
      <c r="U100" s="594">
        <f>SUM(K100:M100)/3</f>
        <v>20</v>
      </c>
      <c r="V100" s="594">
        <f>SUM(N100:P100)/3</f>
        <v>20</v>
      </c>
    </row>
    <row r="101" spans="1:22">
      <c r="A101" s="595"/>
      <c r="B101" s="591" t="s">
        <v>516</v>
      </c>
      <c r="C101" s="592" t="s">
        <v>517</v>
      </c>
      <c r="D101" s="593"/>
      <c r="E101" s="594">
        <f>+[4]Admin!E82+[4]BOO!E82+[4]NA!E82+[4]Engineering!E87+[4]Marketing!E83+'[4]NA Sales'!E84</f>
        <v>2</v>
      </c>
      <c r="F101" s="594">
        <f>+[4]Admin!F82+[4]BOO!F82+[4]NA!F82+[4]Engineering!F87+[4]Marketing!F83+'[4]NA Sales'!F84</f>
        <v>2</v>
      </c>
      <c r="G101" s="594">
        <f>+[4]Admin!G82+[4]BOO!G82+[4]NA!G82+[4]Engineering!G87+[4]Marketing!G83+'[4]NA Sales'!G84</f>
        <v>2</v>
      </c>
      <c r="H101" s="594">
        <f>+[4]Admin!H82+[4]BOO!H82+[4]NA!H82+[4]Engineering!H87+[4]Marketing!H83+'[4]NA Sales'!H84</f>
        <v>2</v>
      </c>
      <c r="I101" s="594">
        <f>+[4]Admin!I82+[4]BOO!I82+[4]NA!I82+[4]Engineering!I87+[4]Marketing!I83+'[4]NA Sales'!I84</f>
        <v>2</v>
      </c>
      <c r="J101" s="594">
        <f>+[4]Admin!J82+[4]BOO!J82+[4]NA!J82+[4]Engineering!J87+[4]Marketing!J83+'[4]NA Sales'!J84</f>
        <v>2</v>
      </c>
      <c r="K101" s="594">
        <f>+[4]Admin!K82+[4]BOO!K82+[4]NA!K82+[4]Engineering!K87+[4]Marketing!K83+'[4]NA Sales'!K84</f>
        <v>2</v>
      </c>
      <c r="L101" s="594">
        <f>+[4]Admin!L82+[4]BOO!L82+[4]NA!L82+[4]Engineering!L87+[4]Marketing!L83+'[4]NA Sales'!L84</f>
        <v>2</v>
      </c>
      <c r="M101" s="594">
        <f>+[4]Admin!M82+[4]BOO!M82+[4]NA!M82+[4]Engineering!M87+[4]Marketing!M83+'[4]NA Sales'!M84</f>
        <v>2</v>
      </c>
      <c r="N101" s="594">
        <f>+[4]Admin!N82+[4]BOO!N82+[4]NA!N82+[4]Engineering!N87+[4]Marketing!N83+'[4]NA Sales'!N84</f>
        <v>2</v>
      </c>
      <c r="O101" s="594">
        <f>+[4]Admin!O82+[4]BOO!O82+[4]NA!O82+[4]Engineering!O87+[4]Marketing!O83+'[4]NA Sales'!O84</f>
        <v>2</v>
      </c>
      <c r="P101" s="594">
        <f>+[4]Admin!P82+[4]BOO!P82+[4]NA!P82+[4]Engineering!P87+[4]Marketing!P83+'[4]NA Sales'!P84</f>
        <v>2</v>
      </c>
      <c r="Q101" s="594">
        <f>SUM(E101:P101)/12</f>
        <v>2</v>
      </c>
      <c r="R101" s="594"/>
      <c r="S101" s="594">
        <f>SUM(E101:G101)/3</f>
        <v>2</v>
      </c>
      <c r="T101" s="594">
        <f>SUM(H101:J101)/3</f>
        <v>2</v>
      </c>
      <c r="U101" s="594">
        <f>SUM(K101:M101)/3</f>
        <v>2</v>
      </c>
      <c r="V101" s="594">
        <f>SUM(N101:P101)/3</f>
        <v>2</v>
      </c>
    </row>
    <row r="102" spans="1:22">
      <c r="A102" s="617" t="s">
        <v>191</v>
      </c>
      <c r="B102" s="618"/>
      <c r="C102" s="617" t="str">
        <f>" "</f>
        <v xml:space="preserve"> </v>
      </c>
      <c r="D102" s="619"/>
      <c r="E102" s="620">
        <f t="shared" ref="E102:Q102" si="67">SUM(E100:E101)</f>
        <v>20</v>
      </c>
      <c r="F102" s="620">
        <f t="shared" si="67"/>
        <v>21</v>
      </c>
      <c r="G102" s="620">
        <f t="shared" si="67"/>
        <v>21</v>
      </c>
      <c r="H102" s="620">
        <f t="shared" si="67"/>
        <v>22</v>
      </c>
      <c r="I102" s="620">
        <f t="shared" si="67"/>
        <v>21</v>
      </c>
      <c r="J102" s="620">
        <f t="shared" si="67"/>
        <v>21</v>
      </c>
      <c r="K102" s="620">
        <f t="shared" si="67"/>
        <v>22</v>
      </c>
      <c r="L102" s="620">
        <f t="shared" si="67"/>
        <v>22</v>
      </c>
      <c r="M102" s="620">
        <f t="shared" si="67"/>
        <v>22</v>
      </c>
      <c r="N102" s="620">
        <f t="shared" si="67"/>
        <v>22</v>
      </c>
      <c r="O102" s="620">
        <f t="shared" si="67"/>
        <v>22</v>
      </c>
      <c r="P102" s="620">
        <f t="shared" si="67"/>
        <v>22</v>
      </c>
      <c r="Q102" s="620">
        <f t="shared" si="67"/>
        <v>21.5</v>
      </c>
      <c r="R102" s="605"/>
      <c r="S102" s="620">
        <f>SUM(S100:S101)</f>
        <v>20.666666666666668</v>
      </c>
      <c r="T102" s="620">
        <f>SUM(T100:T101)</f>
        <v>21.333333333333332</v>
      </c>
      <c r="U102" s="620">
        <f>SUM(U100:U101)</f>
        <v>22</v>
      </c>
      <c r="V102" s="620">
        <f>SUM(V100:V101)</f>
        <v>22</v>
      </c>
    </row>
    <row r="103" spans="1:22">
      <c r="A103" s="595"/>
      <c r="B103" s="591"/>
      <c r="C103" s="592"/>
      <c r="D103" s="593"/>
      <c r="E103" s="594"/>
      <c r="F103" s="594"/>
      <c r="G103" s="594"/>
      <c r="H103" s="594"/>
      <c r="I103" s="594"/>
      <c r="J103" s="594"/>
      <c r="K103" s="594"/>
      <c r="L103" s="594"/>
      <c r="M103" s="594"/>
      <c r="N103" s="594"/>
      <c r="O103" s="594"/>
      <c r="P103" s="594"/>
      <c r="Q103" s="594"/>
      <c r="R103" s="594"/>
    </row>
    <row r="104" spans="1:22">
      <c r="A104" s="595"/>
      <c r="B104" s="591"/>
      <c r="C104" s="592"/>
      <c r="D104" s="593"/>
      <c r="E104" s="594"/>
      <c r="F104" s="594"/>
      <c r="G104" s="594"/>
      <c r="H104" s="594"/>
      <c r="I104" s="594"/>
      <c r="J104" s="594"/>
      <c r="K104" s="594"/>
      <c r="L104" s="594"/>
      <c r="M104" s="594"/>
      <c r="N104" s="594"/>
      <c r="O104" s="594"/>
      <c r="P104" s="594"/>
      <c r="Q104" s="594">
        <f>+[4]Admin!Q79+[4]BOO!Q79+[4]NA!Q79+[4]Engineering!Q84+[4]Marketing!Q80+'[4]NA Sales'!Q81</f>
        <v>3673521.733967823</v>
      </c>
      <c r="R104" s="594"/>
      <c r="S104" s="594"/>
      <c r="T104" s="594"/>
      <c r="U104" s="594"/>
      <c r="V104" s="594"/>
    </row>
    <row r="105" spans="1:22" ht="12.75">
      <c r="A105" s="595"/>
      <c r="B105" s="591">
        <v>76100</v>
      </c>
      <c r="C105" s="596" t="s">
        <v>508</v>
      </c>
      <c r="D105" s="593">
        <f>+'[5]R&amp;D May Comparison'!B65</f>
        <v>232.83333333333334</v>
      </c>
      <c r="E105" s="594">
        <f>+[4]Admin!E74+[4]BOO!E74+[4]NA!E74+[4]Engineering!E79+[4]Marketing!E74+'[4]NA Sales'!E75</f>
        <v>2084.8366666666666</v>
      </c>
      <c r="F105" s="594">
        <f>+[4]Admin!F74+[4]BOO!F74+[4]NA!F74+[4]Engineering!F79+[4]Marketing!F74+'[4]NA Sales'!F75</f>
        <v>2329.3011111111109</v>
      </c>
      <c r="G105" s="594">
        <f>+[4]Admin!G74+[4]BOO!G74+[4]NA!G74+[4]Engineering!G79+[4]Marketing!G74+'[4]NA Sales'!G75</f>
        <v>2674.6988888888891</v>
      </c>
      <c r="H105" s="594">
        <f>+[4]Admin!H74+[4]BOO!H74+[4]NA!H74+[4]Engineering!H79+[4]Marketing!H74+'[4]NA Sales'!H75</f>
        <v>3022.212222222222</v>
      </c>
      <c r="I105" s="594">
        <f>+[4]Admin!I74+[4]BOO!I74+[4]NA!I74+[4]Engineering!I79+[4]Marketing!I74+'[4]NA Sales'!I75</f>
        <v>3244.4344444444441</v>
      </c>
      <c r="J105" s="594">
        <f>+[4]Admin!J74+[4]BOO!J74+[4]NA!J74+[4]Engineering!J79+[4]Marketing!J74+'[4]NA Sales'!J75</f>
        <v>3433.3333333333335</v>
      </c>
      <c r="K105" s="594">
        <f>+[4]Admin!K74+[4]BOO!K74+[4]NA!K74+[4]Engineering!K79+[4]Marketing!K74+'[4]NA Sales'!K75</f>
        <v>3373.6722222222224</v>
      </c>
      <c r="L105" s="594">
        <f>+[4]Admin!L74+[4]BOO!L74+[4]NA!L74+[4]Engineering!L79+[4]Marketing!L74+'[4]NA Sales'!L75</f>
        <v>3418.1166666666668</v>
      </c>
      <c r="M105" s="594">
        <f>+[4]Admin!M74+[4]BOO!M74+[4]NA!M74+[4]Engineering!M79+[4]Marketing!M74+'[4]NA Sales'!M75</f>
        <v>3590.338888888889</v>
      </c>
      <c r="N105" s="594">
        <f>+[4]Admin!N74+[4]BOO!N74+[4]NA!N74+[4]Engineering!N79+[4]Marketing!N74+'[4]NA Sales'!N75</f>
        <v>3612.5611111111116</v>
      </c>
      <c r="O105" s="594">
        <f>+[4]Admin!O74+[4]BOO!O74+[4]NA!O74+[4]Engineering!O79+[4]Marketing!O74+'[4]NA Sales'!O75</f>
        <v>3612.5611111111116</v>
      </c>
      <c r="P105" s="594">
        <f>+[4]Admin!P74+[4]BOO!P74+[4]NA!P74+[4]Engineering!P79+[4]Marketing!P74+'[4]NA Sales'!P75</f>
        <v>3634.8033333333333</v>
      </c>
      <c r="Q105" s="594">
        <f>SUM(E105:P105)</f>
        <v>38030.869999999995</v>
      </c>
      <c r="R105" s="594"/>
      <c r="S105" s="594">
        <f>SUM(E105:G105)</f>
        <v>7088.836666666667</v>
      </c>
      <c r="T105" s="594">
        <f>SUM(H105:J105)</f>
        <v>9699.98</v>
      </c>
      <c r="U105" s="594">
        <f>SUM(K105:M105)</f>
        <v>10382.127777777778</v>
      </c>
      <c r="V105" s="594">
        <f>SUM(N105:P105)</f>
        <v>10859.925555555557</v>
      </c>
    </row>
    <row r="106" spans="1:22" ht="12.75">
      <c r="A106" s="595"/>
      <c r="B106" s="591">
        <v>76200</v>
      </c>
      <c r="C106" s="596" t="s">
        <v>509</v>
      </c>
      <c r="D106" s="593">
        <v>0</v>
      </c>
      <c r="E106" s="594">
        <f>+[4]Admin!E75+[4]BOO!E75+[4]NA!E75+[4]Engineering!E80+[4]Marketing!E75+'[4]NA Sales'!E76</f>
        <v>11</v>
      </c>
      <c r="F106" s="594">
        <f>+[4]Admin!F75+[4]BOO!F75+[4]NA!F75+[4]Engineering!F80+[4]Marketing!F75+'[4]NA Sales'!F76</f>
        <v>11</v>
      </c>
      <c r="G106" s="594">
        <f>+[4]Admin!G75+[4]BOO!G75+[4]NA!G75+[4]Engineering!G80+[4]Marketing!G75+'[4]NA Sales'!G76</f>
        <v>11</v>
      </c>
      <c r="H106" s="594">
        <f>+[4]Admin!H75+[4]BOO!H75+[4]NA!H75+[4]Engineering!H80+[4]Marketing!H75+'[4]NA Sales'!H76</f>
        <v>11</v>
      </c>
      <c r="I106" s="594">
        <f>+[4]Admin!I75+[4]BOO!I75+[4]NA!I75+[4]Engineering!I80+[4]Marketing!I75+'[4]NA Sales'!I76</f>
        <v>11</v>
      </c>
      <c r="J106" s="594">
        <f>+[4]Admin!J75+[4]BOO!J75+[4]NA!J75+[4]Engineering!J80+[4]Marketing!J75+'[4]NA Sales'!J76</f>
        <v>11</v>
      </c>
      <c r="K106" s="594">
        <f>+[4]Admin!K75+[4]BOO!K75+[4]NA!K75+[4]Engineering!K80+[4]Marketing!K75+'[4]NA Sales'!K76</f>
        <v>11</v>
      </c>
      <c r="L106" s="594">
        <f>+[4]Admin!L75+[4]BOO!L75+[4]NA!L75+[4]Engineering!L80+[4]Marketing!L75+'[4]NA Sales'!L76</f>
        <v>11</v>
      </c>
      <c r="M106" s="594">
        <f>+[4]Admin!M75+[4]BOO!M75+[4]NA!M75+[4]Engineering!M80+[4]Marketing!M75+'[4]NA Sales'!M76</f>
        <v>11</v>
      </c>
      <c r="N106" s="594">
        <f>+[4]Admin!N75+[4]BOO!N75+[4]NA!N75+[4]Engineering!N80+[4]Marketing!N75+'[4]NA Sales'!N76</f>
        <v>11</v>
      </c>
      <c r="O106" s="594">
        <f>+[4]Admin!O75+[4]BOO!O75+[4]NA!O75+[4]Engineering!O80+[4]Marketing!O75+'[4]NA Sales'!O76</f>
        <v>11</v>
      </c>
      <c r="P106" s="594">
        <f>+[4]Admin!P75+[4]BOO!P75+[4]NA!P75+[4]Engineering!P80+[4]Marketing!P75+'[4]NA Sales'!P76</f>
        <v>11</v>
      </c>
      <c r="Q106" s="594">
        <f>SUM(E106:P106)</f>
        <v>132</v>
      </c>
      <c r="R106" s="594"/>
      <c r="S106" s="594">
        <f>SUM(E106:G106)</f>
        <v>33</v>
      </c>
      <c r="T106" s="594">
        <f>SUM(H106:J106)</f>
        <v>33</v>
      </c>
      <c r="U106" s="594">
        <f>SUM(K106:M106)</f>
        <v>33</v>
      </c>
      <c r="V106" s="594">
        <f>SUM(N106:P106)</f>
        <v>33</v>
      </c>
    </row>
    <row r="107" spans="1:22" ht="12.75">
      <c r="A107" s="595"/>
      <c r="B107" s="606">
        <v>76300</v>
      </c>
      <c r="C107" s="596" t="s">
        <v>510</v>
      </c>
      <c r="D107" s="593">
        <f>+'[5]R&amp;D May Comparison'!B66</f>
        <v>464</v>
      </c>
      <c r="E107" s="594">
        <f>+[4]Admin!E76+[4]BOO!E76+[4]NA!E76+[4]Engineering!E81+[4]Marketing!E76+'[4]NA Sales'!E77</f>
        <v>27</v>
      </c>
      <c r="F107" s="594">
        <f>+[4]Admin!F76+[4]BOO!F76+[4]NA!F76+[4]Engineering!F81+[4]Marketing!F76+'[4]NA Sales'!F77</f>
        <v>27</v>
      </c>
      <c r="G107" s="594">
        <f>+[4]Admin!G76+[4]BOO!G76+[4]NA!G76+[4]Engineering!G81+[4]Marketing!G76+'[4]NA Sales'!G77</f>
        <v>27</v>
      </c>
      <c r="H107" s="594">
        <f>+[4]Admin!H76+[4]BOO!H76+[4]NA!H76+[4]Engineering!H81+[4]Marketing!H76+'[4]NA Sales'!H77</f>
        <v>27</v>
      </c>
      <c r="I107" s="594">
        <f>+[4]Admin!I76+[4]BOO!I76+[4]NA!I76+[4]Engineering!I81+[4]Marketing!I76+'[4]NA Sales'!I77</f>
        <v>27</v>
      </c>
      <c r="J107" s="594">
        <f>+[4]Admin!J76+[4]BOO!J76+[4]NA!J76+[4]Engineering!J81+[4]Marketing!J76+'[4]NA Sales'!J77</f>
        <v>27</v>
      </c>
      <c r="K107" s="594">
        <f>+[4]Admin!K76+[4]BOO!K76+[4]NA!K76+[4]Engineering!K81+[4]Marketing!K76+'[4]NA Sales'!K77</f>
        <v>27</v>
      </c>
      <c r="L107" s="594">
        <f>+[4]Admin!L76+[4]BOO!L76+[4]NA!L76+[4]Engineering!L81+[4]Marketing!L76+'[4]NA Sales'!L77</f>
        <v>27</v>
      </c>
      <c r="M107" s="594">
        <f>+[4]Admin!M76+[4]BOO!M76+[4]NA!M76+[4]Engineering!M81+[4]Marketing!M76+'[4]NA Sales'!M77</f>
        <v>27</v>
      </c>
      <c r="N107" s="594">
        <f>+[4]Admin!N76+[4]BOO!N76+[4]NA!N76+[4]Engineering!N81+[4]Marketing!N76+'[4]NA Sales'!N77</f>
        <v>27</v>
      </c>
      <c r="O107" s="594">
        <f>+[4]Admin!O76+[4]BOO!O76+[4]NA!O76+[4]Engineering!O81+[4]Marketing!O76+'[4]NA Sales'!O77</f>
        <v>27</v>
      </c>
      <c r="P107" s="594">
        <f>+[4]Admin!P76+[4]BOO!P76+[4]NA!P76+[4]Engineering!P81+[4]Marketing!P76+'[4]NA Sales'!P77</f>
        <v>27</v>
      </c>
      <c r="Q107" s="594">
        <f>SUM(E107:P107)</f>
        <v>324</v>
      </c>
      <c r="R107" s="594"/>
      <c r="S107" s="594">
        <f>SUM(E107:G107)</f>
        <v>81</v>
      </c>
      <c r="T107" s="594">
        <f>SUM(H107:J107)</f>
        <v>81</v>
      </c>
      <c r="U107" s="594">
        <f>SUM(K107:M107)</f>
        <v>81</v>
      </c>
      <c r="V107" s="594">
        <f>SUM(N107:P107)</f>
        <v>81</v>
      </c>
    </row>
    <row r="108" spans="1:22" ht="12.75">
      <c r="A108" s="595"/>
      <c r="B108" s="591">
        <v>77100</v>
      </c>
      <c r="C108" s="596" t="s">
        <v>511</v>
      </c>
      <c r="D108" s="593">
        <v>0</v>
      </c>
      <c r="E108" s="594">
        <f>+[4]Admin!E77+[4]BOO!E77+[4]NA!E77+[4]Engineering!E82+[4]Marketing!E77+'[4]NA Sales'!E78</f>
        <v>14</v>
      </c>
      <c r="F108" s="594">
        <f>+[4]Admin!F77+[4]BOO!F77+[4]NA!F77+[4]Engineering!F82+[4]Marketing!F77+'[4]NA Sales'!F78</f>
        <v>14</v>
      </c>
      <c r="G108" s="594">
        <f>+[4]Admin!G77+[4]BOO!G77+[4]NA!G77+[4]Engineering!G82+[4]Marketing!G77+'[4]NA Sales'!G78</f>
        <v>14</v>
      </c>
      <c r="H108" s="594">
        <f>+[4]Admin!H77+[4]BOO!H77+[4]NA!H77+[4]Engineering!H82+[4]Marketing!H77+'[4]NA Sales'!H78</f>
        <v>14</v>
      </c>
      <c r="I108" s="594">
        <f>+[4]Admin!I77+[4]BOO!I77+[4]NA!I77+[4]Engineering!I82+[4]Marketing!I77+'[4]NA Sales'!I78</f>
        <v>14</v>
      </c>
      <c r="J108" s="594">
        <f>+[4]Admin!J77+[4]BOO!J77+[4]NA!J77+[4]Engineering!J82+[4]Marketing!J77+'[4]NA Sales'!J78</f>
        <v>0</v>
      </c>
      <c r="K108" s="594">
        <f>+[4]Admin!K77+[4]BOO!K77+[4]NA!K77+[4]Engineering!K82+[4]Marketing!K77+'[4]NA Sales'!K78</f>
        <v>0</v>
      </c>
      <c r="L108" s="594">
        <f>+[4]Admin!L77+[4]BOO!L77+[4]NA!L77+[4]Engineering!L82+[4]Marketing!L77+'[4]NA Sales'!L78</f>
        <v>0</v>
      </c>
      <c r="M108" s="594">
        <f>+[4]Admin!M77+[4]BOO!M77+[4]NA!M77+[4]Engineering!M82+[4]Marketing!M77+'[4]NA Sales'!M78</f>
        <v>0</v>
      </c>
      <c r="N108" s="594">
        <f>+[4]Admin!N77+[4]BOO!N77+[4]NA!N77+[4]Engineering!N82+[4]Marketing!N77+'[4]NA Sales'!N78</f>
        <v>0</v>
      </c>
      <c r="O108" s="594">
        <f>+[4]Admin!O77+[4]BOO!O77+[4]NA!O77+[4]Engineering!O82+[4]Marketing!O77+'[4]NA Sales'!O78</f>
        <v>0</v>
      </c>
      <c r="P108" s="594">
        <f>+[4]Admin!P77+[4]BOO!P77+[4]NA!P77+[4]Engineering!P82+[4]Marketing!P77+'[4]NA Sales'!P78</f>
        <v>0</v>
      </c>
      <c r="Q108" s="594">
        <f>SUM(E108:P108)</f>
        <v>70</v>
      </c>
      <c r="R108" s="594"/>
      <c r="S108" s="594">
        <f>SUM(E108:G108)</f>
        <v>42</v>
      </c>
      <c r="T108" s="594">
        <f>SUM(H108:J108)</f>
        <v>28</v>
      </c>
      <c r="U108" s="594">
        <f>SUM(K108:M108)</f>
        <v>0</v>
      </c>
      <c r="V108" s="594">
        <f>SUM(N108:P108)</f>
        <v>0</v>
      </c>
    </row>
    <row r="109" spans="1:22" ht="12.75">
      <c r="A109" s="595"/>
      <c r="B109" s="611"/>
      <c r="C109" s="596" t="s">
        <v>512</v>
      </c>
      <c r="D109" s="593">
        <f t="shared" ref="D109:P109" si="68">SUM(D105:D108)</f>
        <v>696.83333333333337</v>
      </c>
      <c r="E109" s="593">
        <f t="shared" si="68"/>
        <v>2136.8366666666666</v>
      </c>
      <c r="F109" s="593">
        <f t="shared" si="68"/>
        <v>2381.3011111111109</v>
      </c>
      <c r="G109" s="593">
        <f t="shared" si="68"/>
        <v>2726.6988888888891</v>
      </c>
      <c r="H109" s="593">
        <f t="shared" si="68"/>
        <v>3074.212222222222</v>
      </c>
      <c r="I109" s="593">
        <f t="shared" si="68"/>
        <v>3296.4344444444441</v>
      </c>
      <c r="J109" s="593">
        <f t="shared" si="68"/>
        <v>3471.3333333333335</v>
      </c>
      <c r="K109" s="593">
        <f t="shared" si="68"/>
        <v>3411.6722222222224</v>
      </c>
      <c r="L109" s="593">
        <f t="shared" si="68"/>
        <v>3456.1166666666668</v>
      </c>
      <c r="M109" s="593">
        <f t="shared" si="68"/>
        <v>3628.338888888889</v>
      </c>
      <c r="N109" s="593">
        <f t="shared" si="68"/>
        <v>3650.5611111111116</v>
      </c>
      <c r="O109" s="593">
        <f t="shared" si="68"/>
        <v>3650.5611111111116</v>
      </c>
      <c r="P109" s="593">
        <f t="shared" si="68"/>
        <v>3672.8033333333333</v>
      </c>
      <c r="Q109" s="594">
        <f>SUM(E109:P109)</f>
        <v>38556.869999999995</v>
      </c>
      <c r="R109" s="594"/>
      <c r="S109" s="594">
        <f>SUM(E109:G109)</f>
        <v>7244.836666666667</v>
      </c>
      <c r="T109" s="594">
        <f>SUM(H109:J109)</f>
        <v>9841.98</v>
      </c>
      <c r="U109" s="594">
        <f>SUM(K109:M109)</f>
        <v>10496.127777777778</v>
      </c>
      <c r="V109" s="594">
        <f>SUM(N109:P109)</f>
        <v>10973.925555555557</v>
      </c>
    </row>
    <row r="110" spans="1:22">
      <c r="E110" s="594"/>
      <c r="F110" s="594"/>
      <c r="G110" s="594"/>
      <c r="H110" s="594"/>
      <c r="I110" s="594"/>
      <c r="J110" s="594"/>
      <c r="K110" s="594"/>
      <c r="L110" s="594"/>
      <c r="M110" s="594"/>
      <c r="N110" s="594"/>
      <c r="O110" s="594"/>
      <c r="P110" s="594"/>
      <c r="Q110" s="594">
        <f>+Q104-Q98</f>
        <v>631226.66666666698</v>
      </c>
      <c r="R110" s="594"/>
      <c r="S110" s="594"/>
      <c r="T110" s="594"/>
      <c r="U110" s="594"/>
      <c r="V110" s="59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482"/>
  <sheetViews>
    <sheetView zoomScale="90" workbookViewId="0">
      <selection activeCell="D25" sqref="D25"/>
    </sheetView>
  </sheetViews>
  <sheetFormatPr defaultRowHeight="12.75"/>
  <cols>
    <col min="1" max="1" width="6.140625" style="1" customWidth="1"/>
    <col min="2" max="2" width="40.5703125" style="20" customWidth="1"/>
    <col min="3" max="3" width="15.140625" style="1" customWidth="1"/>
    <col min="4" max="4" width="10.85546875" style="1" customWidth="1"/>
    <col min="5" max="5" width="10.28515625" style="1" customWidth="1"/>
    <col min="6" max="6" width="11.7109375" style="43" customWidth="1"/>
    <col min="7" max="7" width="10.28515625" style="36" customWidth="1"/>
    <col min="8" max="8" width="10.85546875" style="36" customWidth="1"/>
    <col min="9" max="9" width="11.42578125" style="36" customWidth="1"/>
    <col min="10" max="10" width="10.85546875" style="36" customWidth="1"/>
    <col min="11" max="13" width="11.140625" style="36" bestFit="1" customWidth="1"/>
    <col min="14" max="14" width="11" style="36" customWidth="1"/>
    <col min="15" max="15" width="12.28515625" style="36" customWidth="1"/>
    <col min="16" max="16" width="12.28515625" style="1" customWidth="1"/>
    <col min="17" max="17" width="36" style="1" customWidth="1"/>
    <col min="18" max="18" width="9.5703125" style="1" bestFit="1" customWidth="1"/>
    <col min="19" max="19" width="11.7109375" style="1" bestFit="1" customWidth="1"/>
    <col min="20" max="20" width="9.140625" style="1"/>
    <col min="21" max="22" width="11.42578125" style="1" customWidth="1"/>
    <col min="23" max="16384" width="9.140625" style="1"/>
  </cols>
  <sheetData>
    <row r="1" spans="1:21" ht="21.75" customHeight="1" thickBot="1">
      <c r="A1" s="653" t="s">
        <v>58</v>
      </c>
      <c r="B1" s="653"/>
      <c r="C1" s="91"/>
      <c r="D1" s="651" t="s">
        <v>198</v>
      </c>
      <c r="E1" s="651"/>
      <c r="F1" s="652"/>
      <c r="G1" s="651" t="s">
        <v>199</v>
      </c>
      <c r="H1" s="651"/>
      <c r="I1" s="652"/>
      <c r="J1" s="651" t="s">
        <v>200</v>
      </c>
      <c r="K1" s="651"/>
      <c r="L1" s="652"/>
      <c r="M1" s="651" t="s">
        <v>201</v>
      </c>
      <c r="N1" s="651"/>
      <c r="O1" s="652"/>
      <c r="P1" s="36"/>
      <c r="Q1" s="475" t="s">
        <v>389</v>
      </c>
      <c r="R1" s="480" t="s">
        <v>391</v>
      </c>
      <c r="S1"/>
      <c r="T1"/>
      <c r="U1"/>
    </row>
    <row r="2" spans="1:21" ht="14.25" customHeight="1" thickTop="1">
      <c r="A2" s="173"/>
      <c r="B2" s="174"/>
      <c r="C2" s="91"/>
      <c r="D2" s="493" t="s">
        <v>67</v>
      </c>
      <c r="E2" s="469" t="s">
        <v>65</v>
      </c>
      <c r="F2" s="471" t="s">
        <v>68</v>
      </c>
      <c r="G2" s="469" t="s">
        <v>60</v>
      </c>
      <c r="H2" s="469" t="s">
        <v>61</v>
      </c>
      <c r="I2" s="471" t="s">
        <v>69</v>
      </c>
      <c r="J2" s="469" t="s">
        <v>62</v>
      </c>
      <c r="K2" s="469" t="s">
        <v>63</v>
      </c>
      <c r="L2" s="471" t="s">
        <v>91</v>
      </c>
      <c r="M2" s="469" t="s">
        <v>64</v>
      </c>
      <c r="N2" s="469" t="s">
        <v>80</v>
      </c>
      <c r="O2" s="471" t="s">
        <v>66</v>
      </c>
      <c r="Q2" s="476" t="s">
        <v>392</v>
      </c>
      <c r="R2" s="478">
        <v>0</v>
      </c>
      <c r="S2"/>
      <c r="T2"/>
      <c r="U2"/>
    </row>
    <row r="3" spans="1:21" s="34" customFormat="1">
      <c r="B3" s="472" t="s">
        <v>0</v>
      </c>
      <c r="C3" s="148"/>
      <c r="D3" s="492">
        <f>400000+IF($R$2=1,ACTIFY!B5,0)</f>
        <v>400000</v>
      </c>
      <c r="E3" s="473">
        <f t="shared" ref="E3:L3" si="0">D10</f>
        <v>370404.33999999997</v>
      </c>
      <c r="F3" s="474">
        <f t="shared" si="0"/>
        <v>326450.48</v>
      </c>
      <c r="G3" s="473">
        <f t="shared" si="0"/>
        <v>359984.76500000001</v>
      </c>
      <c r="H3" s="473">
        <f t="shared" si="0"/>
        <v>515162.53315000003</v>
      </c>
      <c r="I3" s="474">
        <f t="shared" si="0"/>
        <v>561885.52855050005</v>
      </c>
      <c r="J3" s="473">
        <f t="shared" si="0"/>
        <v>437509.78220893512</v>
      </c>
      <c r="K3" s="473">
        <f t="shared" si="0"/>
        <v>268181.07933176158</v>
      </c>
      <c r="L3" s="474">
        <f t="shared" si="0"/>
        <v>189098.12911505392</v>
      </c>
      <c r="M3" s="473">
        <f>L10</f>
        <v>-35032.277565355645</v>
      </c>
      <c r="N3" s="473">
        <f>M10</f>
        <v>68544.776681921445</v>
      </c>
      <c r="O3" s="474">
        <f>N10</f>
        <v>518960.89721016202</v>
      </c>
      <c r="Q3" s="476"/>
      <c r="R3" s="478"/>
      <c r="S3"/>
      <c r="T3"/>
      <c r="U3"/>
    </row>
    <row r="4" spans="1:21" s="3" customFormat="1">
      <c r="B4" s="95" t="s">
        <v>202</v>
      </c>
      <c r="C4" s="149"/>
      <c r="D4" s="128">
        <f>IF($R$4=1,300000,0)+IF($R$6=1,1000000,0)</f>
        <v>0</v>
      </c>
      <c r="E4" s="126"/>
      <c r="F4" s="101"/>
      <c r="G4" s="38"/>
      <c r="H4" s="38"/>
      <c r="I4" s="101"/>
      <c r="J4" s="38"/>
      <c r="K4" s="38"/>
      <c r="L4" s="101"/>
      <c r="M4" s="38"/>
      <c r="N4" s="38"/>
      <c r="O4" s="101"/>
      <c r="Q4" s="476" t="s">
        <v>393</v>
      </c>
      <c r="R4" s="478">
        <v>0</v>
      </c>
      <c r="S4"/>
      <c r="T4"/>
      <c r="U4"/>
    </row>
    <row r="5" spans="1:21" s="3" customFormat="1" ht="12.75" customHeight="1">
      <c r="B5" s="46" t="s">
        <v>203</v>
      </c>
      <c r="C5" s="148"/>
      <c r="D5" s="18"/>
      <c r="E5" s="126"/>
      <c r="F5" s="127"/>
      <c r="G5" s="126"/>
      <c r="H5" s="126"/>
      <c r="I5" s="127"/>
      <c r="J5" s="126"/>
      <c r="K5" s="126"/>
      <c r="L5" s="127"/>
      <c r="M5" s="126"/>
      <c r="N5" s="126"/>
      <c r="O5" s="127"/>
      <c r="Q5" s="476"/>
      <c r="R5" s="478"/>
      <c r="S5"/>
      <c r="T5"/>
      <c r="U5"/>
    </row>
    <row r="6" spans="1:21" s="3" customFormat="1" ht="12.75" customHeight="1">
      <c r="B6" s="46" t="s">
        <v>90</v>
      </c>
      <c r="C6" s="148"/>
      <c r="D6" s="18">
        <v>-50000</v>
      </c>
      <c r="E6" s="18">
        <v>-50000</v>
      </c>
      <c r="F6" s="127"/>
      <c r="G6" s="126"/>
      <c r="H6" s="126"/>
      <c r="I6" s="127"/>
      <c r="J6" s="126"/>
      <c r="K6" s="126"/>
      <c r="L6" s="127"/>
      <c r="M6" s="126"/>
      <c r="N6" s="126"/>
      <c r="O6" s="127"/>
      <c r="P6" s="189"/>
      <c r="Q6" s="476" t="s">
        <v>390</v>
      </c>
      <c r="R6" s="478">
        <v>0</v>
      </c>
      <c r="S6"/>
      <c r="T6"/>
      <c r="U6"/>
    </row>
    <row r="7" spans="1:21" s="3" customFormat="1" ht="13.5" thickBot="1">
      <c r="B7" s="46" t="s">
        <v>13</v>
      </c>
      <c r="C7" s="148"/>
      <c r="D7" s="18">
        <f t="shared" ref="D7:I7" si="1">D23</f>
        <v>399600</v>
      </c>
      <c r="E7" s="38">
        <f t="shared" si="1"/>
        <v>440687</v>
      </c>
      <c r="F7" s="101">
        <f t="shared" si="1"/>
        <v>464600</v>
      </c>
      <c r="G7" s="38">
        <f t="shared" si="1"/>
        <v>599600</v>
      </c>
      <c r="H7" s="38">
        <f t="shared" si="1"/>
        <v>472200</v>
      </c>
      <c r="I7" s="101">
        <f t="shared" si="1"/>
        <v>297600</v>
      </c>
      <c r="J7" s="38">
        <f t="shared" ref="J7:O7" si="2">J23</f>
        <v>277426</v>
      </c>
      <c r="K7" s="38">
        <f t="shared" si="2"/>
        <v>346090</v>
      </c>
      <c r="L7" s="101">
        <f t="shared" si="2"/>
        <v>197000</v>
      </c>
      <c r="M7" s="38">
        <f t="shared" si="2"/>
        <v>589600</v>
      </c>
      <c r="N7" s="38">
        <f t="shared" si="2"/>
        <v>951600</v>
      </c>
      <c r="O7" s="101">
        <f t="shared" si="2"/>
        <v>505000</v>
      </c>
      <c r="Q7" s="477"/>
      <c r="R7" s="479"/>
      <c r="S7"/>
      <c r="T7"/>
      <c r="U7"/>
    </row>
    <row r="8" spans="1:21" s="3" customFormat="1" ht="13.5" thickBot="1">
      <c r="B8" s="47" t="s">
        <v>46</v>
      </c>
      <c r="C8" s="150"/>
      <c r="D8" s="45">
        <f t="shared" ref="D8:O8" si="3">-D57</f>
        <v>-379195.66000000003</v>
      </c>
      <c r="E8" s="45">
        <f t="shared" si="3"/>
        <v>-434640.86</v>
      </c>
      <c r="F8" s="102">
        <f t="shared" si="3"/>
        <v>-431065.71499999997</v>
      </c>
      <c r="G8" s="45">
        <f t="shared" si="3"/>
        <v>-444422.23184999998</v>
      </c>
      <c r="H8" s="45">
        <f t="shared" si="3"/>
        <v>-425477.00459949998</v>
      </c>
      <c r="I8" s="102">
        <f t="shared" si="3"/>
        <v>-421975.74634156493</v>
      </c>
      <c r="J8" s="45">
        <f t="shared" si="3"/>
        <v>-446754.70287717355</v>
      </c>
      <c r="K8" s="45">
        <f t="shared" si="3"/>
        <v>-425172.95021670766</v>
      </c>
      <c r="L8" s="102">
        <f t="shared" si="3"/>
        <v>-421130.40668040956</v>
      </c>
      <c r="M8" s="45">
        <f t="shared" si="3"/>
        <v>-486022.94575272291</v>
      </c>
      <c r="N8" s="45">
        <f t="shared" si="3"/>
        <v>-501183.87947175943</v>
      </c>
      <c r="O8" s="102">
        <f t="shared" si="3"/>
        <v>-445012.80969301448</v>
      </c>
      <c r="S8"/>
      <c r="T8"/>
      <c r="U8"/>
    </row>
    <row r="9" spans="1:21" s="34" customFormat="1" ht="21" customHeight="1" thickTop="1" thickBot="1">
      <c r="B9" s="47" t="s">
        <v>52</v>
      </c>
      <c r="C9" s="150"/>
      <c r="D9" s="45">
        <f t="shared" ref="D9:L9" si="4">SUM(D4:D8)</f>
        <v>-29595.660000000033</v>
      </c>
      <c r="E9" s="45">
        <f t="shared" si="4"/>
        <v>-43953.859999999986</v>
      </c>
      <c r="F9" s="102">
        <f t="shared" si="4"/>
        <v>33534.285000000033</v>
      </c>
      <c r="G9" s="45">
        <f t="shared" si="4"/>
        <v>155177.76815000002</v>
      </c>
      <c r="H9" s="45">
        <f t="shared" si="4"/>
        <v>46722.995400500018</v>
      </c>
      <c r="I9" s="102">
        <f t="shared" si="4"/>
        <v>-124375.74634156493</v>
      </c>
      <c r="J9" s="45">
        <f t="shared" si="4"/>
        <v>-169328.70287717355</v>
      </c>
      <c r="K9" s="45">
        <f t="shared" si="4"/>
        <v>-79082.950216707657</v>
      </c>
      <c r="L9" s="102">
        <f t="shared" si="4"/>
        <v>-224130.40668040956</v>
      </c>
      <c r="M9" s="45">
        <f>SUM(M4:M8)</f>
        <v>103577.05424727709</v>
      </c>
      <c r="N9" s="45">
        <f>SUM(N4:N8)</f>
        <v>450416.12052824057</v>
      </c>
      <c r="O9" s="102">
        <f>SUM(O4:O8)</f>
        <v>59987.190306985518</v>
      </c>
    </row>
    <row r="10" spans="1:21" s="3" customFormat="1" ht="24" customHeight="1" thickTop="1" thickBot="1">
      <c r="B10" s="79" t="s">
        <v>21</v>
      </c>
      <c r="C10" s="151"/>
      <c r="D10" s="18">
        <f t="shared" ref="D10:O10" si="5">D3+D9</f>
        <v>370404.33999999997</v>
      </c>
      <c r="E10" s="38">
        <f t="shared" si="5"/>
        <v>326450.48</v>
      </c>
      <c r="F10" s="101">
        <f t="shared" si="5"/>
        <v>359984.76500000001</v>
      </c>
      <c r="G10" s="38">
        <f t="shared" si="5"/>
        <v>515162.53315000003</v>
      </c>
      <c r="H10" s="38">
        <f t="shared" si="5"/>
        <v>561885.52855050005</v>
      </c>
      <c r="I10" s="101">
        <f t="shared" si="5"/>
        <v>437509.78220893512</v>
      </c>
      <c r="J10" s="38">
        <f t="shared" si="5"/>
        <v>268181.07933176158</v>
      </c>
      <c r="K10" s="38">
        <f t="shared" si="5"/>
        <v>189098.12911505392</v>
      </c>
      <c r="L10" s="101">
        <f t="shared" si="5"/>
        <v>-35032.277565355645</v>
      </c>
      <c r="M10" s="38">
        <f t="shared" si="5"/>
        <v>68544.776681921445</v>
      </c>
      <c r="N10" s="38">
        <f t="shared" si="5"/>
        <v>518960.89721016202</v>
      </c>
      <c r="O10" s="101">
        <f t="shared" si="5"/>
        <v>578948.08751714753</v>
      </c>
      <c r="P10" s="436">
        <f>(O10-D3)/D3</f>
        <v>0.44737021879286881</v>
      </c>
      <c r="Q10" s="437" t="s">
        <v>335</v>
      </c>
    </row>
    <row r="11" spans="1:21" ht="26.25" customHeight="1" thickTop="1">
      <c r="A11" s="74" t="s">
        <v>71</v>
      </c>
      <c r="C11" s="103"/>
      <c r="D11" s="17"/>
      <c r="E11" s="17"/>
      <c r="F11" s="103"/>
      <c r="G11" s="17"/>
      <c r="H11" s="17"/>
      <c r="I11" s="103"/>
      <c r="J11" s="17"/>
      <c r="K11" s="17"/>
      <c r="L11" s="103"/>
      <c r="M11" s="17"/>
      <c r="N11" s="17"/>
      <c r="O11" s="103"/>
    </row>
    <row r="12" spans="1:21">
      <c r="B12" s="21" t="s">
        <v>49</v>
      </c>
      <c r="C12" s="151">
        <f>SUM(D13:O16)</f>
        <v>543600</v>
      </c>
      <c r="E12" s="36"/>
      <c r="F12" s="91"/>
      <c r="I12" s="91"/>
      <c r="L12" s="91"/>
      <c r="O12" s="91"/>
      <c r="P12" s="176"/>
    </row>
    <row r="13" spans="1:21">
      <c r="B13" s="72" t="s">
        <v>258</v>
      </c>
      <c r="C13" s="152"/>
      <c r="D13" s="1">
        <v>150000</v>
      </c>
      <c r="E13" s="36"/>
      <c r="F13" s="91"/>
      <c r="I13" s="91"/>
      <c r="L13" s="91"/>
      <c r="O13" s="91"/>
    </row>
    <row r="14" spans="1:21">
      <c r="B14" s="72" t="s">
        <v>118</v>
      </c>
      <c r="C14" s="152"/>
      <c r="D14" s="1">
        <v>150000</v>
      </c>
      <c r="E14" s="36"/>
      <c r="F14" s="91"/>
      <c r="I14" s="91"/>
      <c r="L14" s="91"/>
      <c r="O14" s="91"/>
    </row>
    <row r="15" spans="1:21">
      <c r="B15" s="72" t="s">
        <v>264</v>
      </c>
      <c r="C15" s="152"/>
      <c r="D15" s="1">
        <v>99600</v>
      </c>
      <c r="E15" s="36"/>
      <c r="F15" s="91"/>
      <c r="I15" s="91"/>
      <c r="L15" s="91"/>
      <c r="O15" s="91"/>
    </row>
    <row r="16" spans="1:21">
      <c r="B16" s="72" t="s">
        <v>268</v>
      </c>
      <c r="C16" s="152"/>
      <c r="E16" s="36">
        <v>144000</v>
      </c>
      <c r="F16" s="91"/>
      <c r="I16" s="91"/>
      <c r="L16" s="91"/>
      <c r="O16" s="91"/>
    </row>
    <row r="17" spans="1:28" ht="13.5" customHeight="1">
      <c r="B17" s="72"/>
      <c r="C17" s="152"/>
      <c r="D17" s="2"/>
      <c r="E17" s="36"/>
      <c r="F17" s="91"/>
      <c r="I17" s="91"/>
      <c r="L17" s="91"/>
      <c r="O17" s="91"/>
    </row>
    <row r="18" spans="1:28" ht="15" customHeight="1">
      <c r="C18" s="91"/>
      <c r="E18" s="36"/>
      <c r="F18" s="91"/>
      <c r="I18" s="91"/>
      <c r="L18" s="91"/>
      <c r="O18" s="91"/>
      <c r="Q18"/>
      <c r="R18"/>
      <c r="S18"/>
      <c r="T18"/>
      <c r="U18"/>
      <c r="V18"/>
    </row>
    <row r="19" spans="1:28" s="3" customFormat="1">
      <c r="B19" s="21" t="s">
        <v>257</v>
      </c>
      <c r="C19" s="148" t="s">
        <v>70</v>
      </c>
      <c r="D19" s="135">
        <v>0</v>
      </c>
      <c r="E19" s="133">
        <f>SUMIF(Subscriptions!$B$3:$B$37,E2,Subscriptions!$C$3:$C$37)</f>
        <v>135687</v>
      </c>
      <c r="F19" s="134">
        <f>SUMIF(Subscriptions!$B$3:$B$37,F2,Subscriptions!$C$3:$C$37)</f>
        <v>63000</v>
      </c>
      <c r="G19" s="133">
        <f>SUMIF(Subscriptions!$B$3:$B$37,G2,Subscriptions!$C$3:$C$37)</f>
        <v>51400</v>
      </c>
      <c r="H19" s="133">
        <f>SUMIF(Subscriptions!$B$3:$B$37,H2,Subscriptions!$C$3:$C$37)</f>
        <v>154000</v>
      </c>
      <c r="I19" s="134">
        <f>SUMIF(Subscriptions!$B$3:$B$37,I2,Subscriptions!$C$3:$C$37)</f>
        <v>24000</v>
      </c>
      <c r="J19" s="133">
        <f>SUMIF(Subscriptions!$B$3:$B$37,J2,Subscriptions!$C$3:$C$37)</f>
        <v>116426</v>
      </c>
      <c r="K19" s="133">
        <f>SUMIF(Subscriptions!$B$3:$B$37,K2,Subscriptions!$C$3:$C$37)</f>
        <v>117090</v>
      </c>
      <c r="L19" s="134">
        <f>SUMIF(Subscriptions!$B$3:$B$37,L2,Subscriptions!$C$3:$C$37)</f>
        <v>0</v>
      </c>
      <c r="M19" s="133">
        <f>SUMIF(Subscriptions!$B$3:$B$37,M2,Subscriptions!$C$3:$C$37)</f>
        <v>359000</v>
      </c>
      <c r="N19" s="133">
        <f>SUMIF(Subscriptions!$B$3:$B$37,N2,Subscriptions!$C$3:$C$37)</f>
        <v>148800</v>
      </c>
      <c r="O19" s="134">
        <f>SUMIF(Subscriptions!$B$3:$B$37,O2,Subscriptions!$C$3:$C$37)</f>
        <v>94000</v>
      </c>
      <c r="P19" s="176"/>
      <c r="Q19"/>
      <c r="R19"/>
      <c r="S19"/>
      <c r="T19"/>
      <c r="U19"/>
      <c r="V19"/>
    </row>
    <row r="20" spans="1:28">
      <c r="B20" s="19"/>
      <c r="C20" s="91"/>
      <c r="E20" s="36"/>
      <c r="F20" s="91"/>
      <c r="I20" s="91"/>
      <c r="L20" s="91"/>
      <c r="O20" s="91"/>
      <c r="Q20"/>
      <c r="R20"/>
      <c r="S20"/>
      <c r="T20"/>
      <c r="U20"/>
      <c r="V20"/>
    </row>
    <row r="21" spans="1:28">
      <c r="B21" s="21" t="s">
        <v>96</v>
      </c>
      <c r="C21" s="148" t="s">
        <v>70</v>
      </c>
      <c r="D21" s="2">
        <f>'New Bookings Forecast'!E66</f>
        <v>0</v>
      </c>
      <c r="E21" s="37">
        <f>'New Bookings Forecast'!F66</f>
        <v>36000</v>
      </c>
      <c r="F21" s="104">
        <f>'New Bookings Forecast'!G66</f>
        <v>261600</v>
      </c>
      <c r="G21" s="37">
        <f>'New Bookings Forecast'!H66</f>
        <v>403200</v>
      </c>
      <c r="H21" s="37">
        <f>'New Bookings Forecast'!I66</f>
        <v>163200</v>
      </c>
      <c r="I21" s="104">
        <f>'New Bookings Forecast'!J66</f>
        <v>123600</v>
      </c>
      <c r="J21" s="37">
        <f>'New Bookings Forecast'!K66</f>
        <v>36000</v>
      </c>
      <c r="K21" s="37">
        <f>'New Bookings Forecast'!L66</f>
        <v>84000</v>
      </c>
      <c r="L21" s="104">
        <f>'New Bookings Forecast'!M66</f>
        <v>72000</v>
      </c>
      <c r="M21" s="37">
        <f>'New Bookings Forecast'!N66</f>
        <v>135600</v>
      </c>
      <c r="N21" s="37">
        <f>'New Bookings Forecast'!O66</f>
        <v>617800</v>
      </c>
      <c r="O21" s="104">
        <f>'New Bookings Forecast'!P66</f>
        <v>216000</v>
      </c>
      <c r="Q21"/>
      <c r="R21"/>
      <c r="S21"/>
      <c r="T21"/>
      <c r="U21"/>
      <c r="V21"/>
      <c r="W21"/>
    </row>
    <row r="22" spans="1:28">
      <c r="B22" s="21" t="s">
        <v>399</v>
      </c>
      <c r="C22" s="148" t="s">
        <v>70</v>
      </c>
      <c r="D22" s="2">
        <f>'New Bookings Forecast'!E19</f>
        <v>0</v>
      </c>
      <c r="E22" s="37">
        <f>'New Bookings Forecast'!F19</f>
        <v>125000</v>
      </c>
      <c r="F22" s="104">
        <f>'New Bookings Forecast'!G19</f>
        <v>140000</v>
      </c>
      <c r="G22" s="37">
        <f>'New Bookings Forecast'!H19</f>
        <v>145000</v>
      </c>
      <c r="H22" s="37">
        <f>'New Bookings Forecast'!I19</f>
        <v>155000</v>
      </c>
      <c r="I22" s="104">
        <f>'New Bookings Forecast'!J19</f>
        <v>150000</v>
      </c>
      <c r="J22" s="37">
        <f>'New Bookings Forecast'!K19</f>
        <v>125000</v>
      </c>
      <c r="K22" s="37">
        <f>'New Bookings Forecast'!L19</f>
        <v>145000</v>
      </c>
      <c r="L22" s="104">
        <f>'New Bookings Forecast'!M19</f>
        <v>125000</v>
      </c>
      <c r="M22" s="37">
        <f>'New Bookings Forecast'!N19</f>
        <v>95000</v>
      </c>
      <c r="N22" s="37">
        <f>'New Bookings Forecast'!O19</f>
        <v>185000</v>
      </c>
      <c r="O22" s="104">
        <f>'New Bookings Forecast'!P19</f>
        <v>195000</v>
      </c>
      <c r="P22" s="3" t="s">
        <v>150</v>
      </c>
      <c r="Q22"/>
      <c r="R22"/>
      <c r="S22"/>
      <c r="T22"/>
      <c r="U22"/>
      <c r="V22"/>
      <c r="W22"/>
      <c r="Z22" s="6" t="s">
        <v>84</v>
      </c>
      <c r="AA22" s="6" t="s">
        <v>85</v>
      </c>
    </row>
    <row r="23" spans="1:28" s="3" customFormat="1" ht="14.25" customHeight="1" thickBot="1">
      <c r="A23" s="69"/>
      <c r="B23" s="70" t="s">
        <v>13</v>
      </c>
      <c r="C23" s="106"/>
      <c r="D23" s="71">
        <f t="shared" ref="D23:O23" si="6">SUM(D13:D22)</f>
        <v>399600</v>
      </c>
      <c r="E23" s="71">
        <f t="shared" si="6"/>
        <v>440687</v>
      </c>
      <c r="F23" s="106">
        <f t="shared" si="6"/>
        <v>464600</v>
      </c>
      <c r="G23" s="71">
        <f t="shared" si="6"/>
        <v>599600</v>
      </c>
      <c r="H23" s="71">
        <f t="shared" si="6"/>
        <v>472200</v>
      </c>
      <c r="I23" s="106">
        <f t="shared" si="6"/>
        <v>297600</v>
      </c>
      <c r="J23" s="71">
        <f t="shared" si="6"/>
        <v>277426</v>
      </c>
      <c r="K23" s="71">
        <f t="shared" si="6"/>
        <v>346090</v>
      </c>
      <c r="L23" s="106">
        <f t="shared" si="6"/>
        <v>197000</v>
      </c>
      <c r="M23" s="71">
        <f t="shared" si="6"/>
        <v>589600</v>
      </c>
      <c r="N23" s="71">
        <f t="shared" si="6"/>
        <v>951600</v>
      </c>
      <c r="O23" s="106">
        <f t="shared" si="6"/>
        <v>505000</v>
      </c>
      <c r="P23" s="33">
        <f>SUM(D23:O23)</f>
        <v>5541003</v>
      </c>
      <c r="Q23"/>
      <c r="R23"/>
      <c r="S23"/>
      <c r="T23"/>
      <c r="U23"/>
      <c r="V23"/>
      <c r="W23"/>
      <c r="Z23" s="3" t="s">
        <v>92</v>
      </c>
      <c r="AA23" s="3" t="s">
        <v>93</v>
      </c>
      <c r="AB23" s="3" t="s">
        <v>94</v>
      </c>
    </row>
    <row r="24" spans="1:28" s="3" customFormat="1" ht="36.75" customHeight="1" thickTop="1">
      <c r="A24" s="75" t="s">
        <v>14</v>
      </c>
      <c r="C24" s="148"/>
      <c r="D24" s="90" t="str">
        <f t="shared" ref="D24:L24" si="7">D2</f>
        <v>JAN</v>
      </c>
      <c r="E24" s="90" t="str">
        <f t="shared" si="7"/>
        <v>FEB</v>
      </c>
      <c r="F24" s="107" t="str">
        <f t="shared" si="7"/>
        <v>MAR</v>
      </c>
      <c r="G24" s="90" t="str">
        <f t="shared" si="7"/>
        <v>APR</v>
      </c>
      <c r="H24" s="90" t="str">
        <f t="shared" si="7"/>
        <v>MAY</v>
      </c>
      <c r="I24" s="107" t="str">
        <f t="shared" si="7"/>
        <v>JUN</v>
      </c>
      <c r="J24" s="90" t="str">
        <f t="shared" si="7"/>
        <v>JUL</v>
      </c>
      <c r="K24" s="90" t="str">
        <f t="shared" si="7"/>
        <v>AUG</v>
      </c>
      <c r="L24" s="107" t="str">
        <f t="shared" si="7"/>
        <v>SEP</v>
      </c>
      <c r="M24" s="90" t="str">
        <f>M2</f>
        <v>OCT</v>
      </c>
      <c r="N24" s="90" t="str">
        <f>N2</f>
        <v>NOV</v>
      </c>
      <c r="O24" s="107" t="str">
        <f>O2</f>
        <v>DEC</v>
      </c>
      <c r="Q24"/>
      <c r="R24"/>
      <c r="S24"/>
      <c r="T24"/>
      <c r="U24"/>
      <c r="V24"/>
      <c r="W24"/>
    </row>
    <row r="25" spans="1:28">
      <c r="B25" s="19" t="s">
        <v>78</v>
      </c>
      <c r="C25" s="149" t="s">
        <v>70</v>
      </c>
      <c r="D25" s="1">
        <f>Headcount!H65</f>
        <v>196291.66666666669</v>
      </c>
      <c r="E25" s="36">
        <f>Headcount!I65</f>
        <v>196291.66666666669</v>
      </c>
      <c r="F25" s="91">
        <f>Headcount!J65</f>
        <v>196291.66666666669</v>
      </c>
      <c r="G25" s="36">
        <f>Headcount!K65</f>
        <v>196291.66666666669</v>
      </c>
      <c r="H25" s="36">
        <f>Headcount!L65</f>
        <v>196291.66666666669</v>
      </c>
      <c r="I25" s="91">
        <f>Headcount!M65</f>
        <v>201291.66666666669</v>
      </c>
      <c r="J25" s="36">
        <f>Headcount!N65</f>
        <v>206291.66666666669</v>
      </c>
      <c r="K25" s="36">
        <f>Headcount!O65</f>
        <v>206291.66666666669</v>
      </c>
      <c r="L25" s="91">
        <f>Headcount!P65</f>
        <v>206291.66666666669</v>
      </c>
      <c r="M25" s="36">
        <f>Headcount!Q65</f>
        <v>206291.66666666669</v>
      </c>
      <c r="N25" s="36">
        <f>Headcount!R65</f>
        <v>206291.66666666669</v>
      </c>
      <c r="O25" s="91">
        <f>Headcount!S65</f>
        <v>206291.66666666669</v>
      </c>
      <c r="Q25"/>
      <c r="R25"/>
      <c r="S25"/>
      <c r="T25"/>
      <c r="U25"/>
      <c r="V25"/>
      <c r="W25"/>
    </row>
    <row r="26" spans="1:28">
      <c r="B26" s="19" t="s">
        <v>81</v>
      </c>
      <c r="C26" s="91"/>
      <c r="D26" s="1">
        <f t="shared" ref="D26:L26" si="8">+D25*0.08</f>
        <v>15703.333333333336</v>
      </c>
      <c r="E26" s="36">
        <f t="shared" si="8"/>
        <v>15703.333333333336</v>
      </c>
      <c r="F26" s="91">
        <f t="shared" si="8"/>
        <v>15703.333333333336</v>
      </c>
      <c r="G26" s="36">
        <f t="shared" si="8"/>
        <v>15703.333333333336</v>
      </c>
      <c r="H26" s="36">
        <f t="shared" si="8"/>
        <v>15703.333333333336</v>
      </c>
      <c r="I26" s="91">
        <f t="shared" si="8"/>
        <v>16103.333333333336</v>
      </c>
      <c r="J26" s="36">
        <f t="shared" si="8"/>
        <v>16503.333333333336</v>
      </c>
      <c r="K26" s="36">
        <f t="shared" si="8"/>
        <v>16503.333333333336</v>
      </c>
      <c r="L26" s="91">
        <f t="shared" si="8"/>
        <v>16503.333333333336</v>
      </c>
      <c r="M26" s="36">
        <f>+M25*0.08</f>
        <v>16503.333333333336</v>
      </c>
      <c r="N26" s="36">
        <f>+N25*0.08</f>
        <v>16503.333333333336</v>
      </c>
      <c r="O26" s="91">
        <f>+O25*0.08</f>
        <v>16503.333333333336</v>
      </c>
      <c r="Q26"/>
      <c r="R26"/>
      <c r="S26"/>
    </row>
    <row r="27" spans="1:28">
      <c r="B27" s="19" t="s">
        <v>54</v>
      </c>
      <c r="C27" s="153">
        <f>1200</f>
        <v>1200</v>
      </c>
      <c r="D27" s="1">
        <f>Headcount!H66*$C$27</f>
        <v>24000</v>
      </c>
      <c r="E27" s="36">
        <f>Headcount!I66*$C$27</f>
        <v>24000</v>
      </c>
      <c r="F27" s="91">
        <f>Headcount!J66*$C$27</f>
        <v>24000</v>
      </c>
      <c r="G27" s="36">
        <f>Headcount!K66*$C$27</f>
        <v>24000</v>
      </c>
      <c r="H27" s="36">
        <f>Headcount!L66*$C$27</f>
        <v>24000</v>
      </c>
      <c r="I27" s="91">
        <f>Headcount!M66*$C$27</f>
        <v>25200</v>
      </c>
      <c r="J27" s="36">
        <f>Headcount!N66*$C$27</f>
        <v>26400</v>
      </c>
      <c r="K27" s="36">
        <f>Headcount!O66*$C$27</f>
        <v>26400</v>
      </c>
      <c r="L27" s="91">
        <f>Headcount!P66*$C$27</f>
        <v>26400</v>
      </c>
      <c r="M27" s="36">
        <f>Headcount!Q66*$C$27</f>
        <v>26400</v>
      </c>
      <c r="N27" s="36">
        <f>Headcount!R66*$C$27</f>
        <v>26400</v>
      </c>
      <c r="O27" s="91">
        <f>Headcount!S66*$C$27</f>
        <v>26400</v>
      </c>
      <c r="Q27"/>
      <c r="R27"/>
      <c r="S27"/>
    </row>
    <row r="28" spans="1:28">
      <c r="B28" s="19" t="s">
        <v>55</v>
      </c>
      <c r="C28" s="153">
        <f>250</f>
        <v>250</v>
      </c>
      <c r="D28" s="1">
        <f>Headcount!H66*$C$28</f>
        <v>5000</v>
      </c>
      <c r="E28" s="36">
        <f>Headcount!I66*$C$28</f>
        <v>5000</v>
      </c>
      <c r="F28" s="91">
        <f>Headcount!J66*$C$28</f>
        <v>5000</v>
      </c>
      <c r="G28" s="36">
        <f>Headcount!K66*$C$28</f>
        <v>5000</v>
      </c>
      <c r="H28" s="36">
        <f>Headcount!L66*$C$28</f>
        <v>5000</v>
      </c>
      <c r="I28" s="91">
        <f>Headcount!M66*$C$28</f>
        <v>5250</v>
      </c>
      <c r="J28" s="36">
        <f>Headcount!N66*$C$28</f>
        <v>5500</v>
      </c>
      <c r="K28" s="36">
        <f>Headcount!O66*$C$28</f>
        <v>5500</v>
      </c>
      <c r="L28" s="91">
        <f>Headcount!P66*$C$28</f>
        <v>5500</v>
      </c>
      <c r="M28" s="36">
        <f>Headcount!Q66*$C$28</f>
        <v>5500</v>
      </c>
      <c r="N28" s="36">
        <f>Headcount!R66*$C$28</f>
        <v>5500</v>
      </c>
      <c r="O28" s="91">
        <f>Headcount!S66*$C$28</f>
        <v>5500</v>
      </c>
      <c r="Q28"/>
      <c r="R28"/>
      <c r="S28"/>
      <c r="T28" s="316"/>
      <c r="U28" s="316"/>
    </row>
    <row r="29" spans="1:28">
      <c r="B29" s="19" t="s">
        <v>256</v>
      </c>
      <c r="C29" s="165">
        <v>0.1</v>
      </c>
      <c r="D29" s="2">
        <f t="shared" ref="D29:O29" si="9">$C$29*(D19+D21+D22)</f>
        <v>0</v>
      </c>
      <c r="E29" s="37">
        <f t="shared" si="9"/>
        <v>29668.7</v>
      </c>
      <c r="F29" s="104">
        <f t="shared" si="9"/>
        <v>46460</v>
      </c>
      <c r="G29" s="37">
        <f t="shared" si="9"/>
        <v>59960</v>
      </c>
      <c r="H29" s="37">
        <f t="shared" si="9"/>
        <v>47220</v>
      </c>
      <c r="I29" s="104">
        <f t="shared" si="9"/>
        <v>29760</v>
      </c>
      <c r="J29" s="37">
        <f t="shared" si="9"/>
        <v>27742.600000000002</v>
      </c>
      <c r="K29" s="37">
        <f t="shared" si="9"/>
        <v>34609</v>
      </c>
      <c r="L29" s="104">
        <f t="shared" si="9"/>
        <v>19700</v>
      </c>
      <c r="M29" s="37">
        <f t="shared" si="9"/>
        <v>58960</v>
      </c>
      <c r="N29" s="37">
        <f t="shared" si="9"/>
        <v>95160</v>
      </c>
      <c r="O29" s="104">
        <f t="shared" si="9"/>
        <v>50500</v>
      </c>
      <c r="Q29"/>
      <c r="R29"/>
      <c r="S29"/>
    </row>
    <row r="30" spans="1:28">
      <c r="B30" s="19" t="s">
        <v>103</v>
      </c>
      <c r="C30" s="91"/>
      <c r="D30" s="1">
        <v>3300</v>
      </c>
      <c r="E30" s="36">
        <f>$D$30</f>
        <v>3300</v>
      </c>
      <c r="F30" s="91">
        <f>$D$30</f>
        <v>3300</v>
      </c>
      <c r="G30" s="36">
        <f t="shared" ref="G30:O30" si="10">$D$30</f>
        <v>3300</v>
      </c>
      <c r="H30" s="36">
        <f t="shared" si="10"/>
        <v>3300</v>
      </c>
      <c r="I30" s="91">
        <f t="shared" si="10"/>
        <v>3300</v>
      </c>
      <c r="J30" s="36">
        <f t="shared" si="10"/>
        <v>3300</v>
      </c>
      <c r="K30" s="36">
        <f t="shared" si="10"/>
        <v>3300</v>
      </c>
      <c r="L30" s="91">
        <f t="shared" si="10"/>
        <v>3300</v>
      </c>
      <c r="M30" s="36">
        <f t="shared" si="10"/>
        <v>3300</v>
      </c>
      <c r="N30" s="36">
        <f t="shared" si="10"/>
        <v>3300</v>
      </c>
      <c r="O30" s="91">
        <f t="shared" si="10"/>
        <v>3300</v>
      </c>
    </row>
    <row r="31" spans="1:28">
      <c r="B31" s="19" t="s">
        <v>15</v>
      </c>
      <c r="C31" s="91"/>
      <c r="D31" s="1">
        <v>450</v>
      </c>
      <c r="E31" s="36">
        <f>$D$31</f>
        <v>450</v>
      </c>
      <c r="F31" s="91">
        <f t="shared" ref="F31:O31" si="11">$D$31</f>
        <v>450</v>
      </c>
      <c r="G31" s="36">
        <f t="shared" si="11"/>
        <v>450</v>
      </c>
      <c r="H31" s="36">
        <f t="shared" si="11"/>
        <v>450</v>
      </c>
      <c r="I31" s="91">
        <f t="shared" si="11"/>
        <v>450</v>
      </c>
      <c r="J31" s="36">
        <f t="shared" si="11"/>
        <v>450</v>
      </c>
      <c r="K31" s="36">
        <f t="shared" si="11"/>
        <v>450</v>
      </c>
      <c r="L31" s="91">
        <f t="shared" si="11"/>
        <v>450</v>
      </c>
      <c r="M31" s="36">
        <f t="shared" si="11"/>
        <v>450</v>
      </c>
      <c r="N31" s="36">
        <f t="shared" si="11"/>
        <v>450</v>
      </c>
      <c r="O31" s="91">
        <f t="shared" si="11"/>
        <v>450</v>
      </c>
    </row>
    <row r="32" spans="1:28">
      <c r="B32" s="19" t="s">
        <v>116</v>
      </c>
      <c r="C32" s="91"/>
      <c r="D32" s="1">
        <v>0</v>
      </c>
      <c r="E32" s="36">
        <v>0</v>
      </c>
      <c r="F32" s="91">
        <v>0</v>
      </c>
      <c r="G32" s="36">
        <v>0</v>
      </c>
      <c r="H32" s="36">
        <v>0</v>
      </c>
      <c r="I32" s="91">
        <v>0</v>
      </c>
      <c r="J32" s="36">
        <v>0</v>
      </c>
      <c r="K32" s="36">
        <v>0</v>
      </c>
      <c r="L32" s="91">
        <v>0</v>
      </c>
      <c r="M32" s="36">
        <v>0</v>
      </c>
      <c r="N32" s="36">
        <v>0</v>
      </c>
      <c r="O32" s="91">
        <v>0</v>
      </c>
    </row>
    <row r="33" spans="2:19">
      <c r="B33" s="19" t="s">
        <v>16</v>
      </c>
      <c r="C33" s="91"/>
      <c r="D33" s="1">
        <v>11000</v>
      </c>
      <c r="E33" s="36">
        <f>D33*1.03</f>
        <v>11330</v>
      </c>
      <c r="F33" s="91">
        <f>E33*1.03</f>
        <v>11669.9</v>
      </c>
      <c r="G33" s="36">
        <f>F33*1.03</f>
        <v>12019.996999999999</v>
      </c>
      <c r="H33" s="36">
        <f>G33*1</f>
        <v>12019.996999999999</v>
      </c>
      <c r="I33" s="91">
        <f>H33</f>
        <v>12019.996999999999</v>
      </c>
      <c r="J33" s="36">
        <f>I33*0.9</f>
        <v>10817.997299999999</v>
      </c>
      <c r="K33" s="36">
        <f>J33*0.9</f>
        <v>9736.1975700000003</v>
      </c>
      <c r="L33" s="91">
        <f>K33*1.05</f>
        <v>10223.0074485</v>
      </c>
      <c r="M33" s="36">
        <f>L33*1.05</f>
        <v>10734.157820925</v>
      </c>
      <c r="N33" s="36">
        <f>M33*1.03</f>
        <v>11056.18255555275</v>
      </c>
      <c r="O33" s="91">
        <f>N33*1.03</f>
        <v>11387.868032219332</v>
      </c>
    </row>
    <row r="34" spans="2:19">
      <c r="B34" s="19" t="s">
        <v>59</v>
      </c>
      <c r="C34" s="91"/>
      <c r="D34" s="1">
        <v>13500</v>
      </c>
      <c r="E34" s="36">
        <v>13500</v>
      </c>
      <c r="F34" s="91">
        <v>13500</v>
      </c>
      <c r="G34" s="36">
        <f>E34</f>
        <v>13500</v>
      </c>
      <c r="H34" s="36">
        <f>E34</f>
        <v>13500</v>
      </c>
      <c r="I34" s="91">
        <f>F34</f>
        <v>13500</v>
      </c>
      <c r="J34" s="36">
        <v>16500</v>
      </c>
      <c r="K34" s="36">
        <f>J34</f>
        <v>16500</v>
      </c>
      <c r="L34" s="91">
        <f>K34</f>
        <v>16500</v>
      </c>
      <c r="M34" s="36">
        <f>K34</f>
        <v>16500</v>
      </c>
      <c r="N34" s="36">
        <f>M34</f>
        <v>16500</v>
      </c>
      <c r="O34" s="91">
        <f>N34</f>
        <v>16500</v>
      </c>
    </row>
    <row r="35" spans="2:19">
      <c r="B35" s="19" t="s">
        <v>87</v>
      </c>
      <c r="C35" s="91"/>
      <c r="D35" s="1">
        <v>4000</v>
      </c>
      <c r="E35" s="36">
        <f>D35*1.05</f>
        <v>4200</v>
      </c>
      <c r="F35" s="91">
        <f t="shared" ref="F35:O35" si="12">E35*1.05</f>
        <v>4410</v>
      </c>
      <c r="G35" s="36">
        <f t="shared" si="12"/>
        <v>4630.5</v>
      </c>
      <c r="H35" s="36">
        <f t="shared" si="12"/>
        <v>4862.0250000000005</v>
      </c>
      <c r="I35" s="91">
        <f t="shared" si="12"/>
        <v>5105.1262500000012</v>
      </c>
      <c r="J35" s="36">
        <f t="shared" si="12"/>
        <v>5360.3825625000018</v>
      </c>
      <c r="K35" s="36">
        <f t="shared" si="12"/>
        <v>5628.4016906250017</v>
      </c>
      <c r="L35" s="91">
        <f t="shared" si="12"/>
        <v>5909.8217751562524</v>
      </c>
      <c r="M35" s="36">
        <f t="shared" si="12"/>
        <v>6205.312863914065</v>
      </c>
      <c r="N35" s="36">
        <f t="shared" si="12"/>
        <v>6515.5785071097689</v>
      </c>
      <c r="O35" s="91">
        <f t="shared" si="12"/>
        <v>6841.3574324652573</v>
      </c>
    </row>
    <row r="36" spans="2:19">
      <c r="B36" s="19" t="s">
        <v>106</v>
      </c>
      <c r="C36" s="91"/>
      <c r="D36" s="1">
        <v>1800</v>
      </c>
      <c r="E36" s="36">
        <v>1800</v>
      </c>
      <c r="F36" s="91">
        <v>1800</v>
      </c>
      <c r="G36" s="36">
        <v>1800</v>
      </c>
      <c r="H36" s="36">
        <v>1800</v>
      </c>
      <c r="I36" s="91">
        <v>1800</v>
      </c>
      <c r="J36" s="36">
        <v>1800</v>
      </c>
      <c r="K36" s="36">
        <v>1800</v>
      </c>
      <c r="L36" s="91">
        <v>1800</v>
      </c>
      <c r="M36" s="36">
        <v>1800</v>
      </c>
      <c r="N36" s="36">
        <v>1800</v>
      </c>
      <c r="O36" s="91">
        <v>1800</v>
      </c>
    </row>
    <row r="37" spans="2:19">
      <c r="B37" s="19" t="s">
        <v>104</v>
      </c>
      <c r="C37" s="91"/>
      <c r="D37" s="1">
        <v>3500</v>
      </c>
      <c r="E37" s="36">
        <v>3500</v>
      </c>
      <c r="F37" s="91">
        <v>3500</v>
      </c>
      <c r="G37" s="36">
        <v>3500</v>
      </c>
      <c r="H37" s="36">
        <v>3500</v>
      </c>
      <c r="I37" s="91">
        <v>3500</v>
      </c>
      <c r="J37" s="36">
        <v>3500</v>
      </c>
      <c r="K37" s="36">
        <v>3500</v>
      </c>
      <c r="L37" s="91">
        <v>3500</v>
      </c>
      <c r="M37" s="36">
        <v>3500</v>
      </c>
      <c r="N37" s="36">
        <v>3500</v>
      </c>
      <c r="O37" s="91">
        <v>3500</v>
      </c>
    </row>
    <row r="38" spans="2:19">
      <c r="B38" s="19" t="s">
        <v>77</v>
      </c>
      <c r="C38" s="91"/>
      <c r="D38" s="1">
        <v>750</v>
      </c>
      <c r="E38" s="36">
        <f>D38*1.03</f>
        <v>772.5</v>
      </c>
      <c r="F38" s="91">
        <f t="shared" ref="F38:O38" si="13">E38*1.03</f>
        <v>795.67500000000007</v>
      </c>
      <c r="G38" s="36">
        <f t="shared" si="13"/>
        <v>819.54525000000012</v>
      </c>
      <c r="H38" s="36">
        <f t="shared" si="13"/>
        <v>844.1316075000002</v>
      </c>
      <c r="I38" s="91">
        <f t="shared" si="13"/>
        <v>869.45555572500018</v>
      </c>
      <c r="J38" s="36">
        <f t="shared" si="13"/>
        <v>895.53922239675023</v>
      </c>
      <c r="K38" s="36">
        <f t="shared" si="13"/>
        <v>922.40539906865274</v>
      </c>
      <c r="L38" s="91">
        <f t="shared" si="13"/>
        <v>950.07756104071234</v>
      </c>
      <c r="M38" s="36">
        <f t="shared" si="13"/>
        <v>978.57988787193369</v>
      </c>
      <c r="N38" s="36">
        <f t="shared" si="13"/>
        <v>1007.9372845080917</v>
      </c>
      <c r="O38" s="91">
        <f t="shared" si="13"/>
        <v>1038.1754030433344</v>
      </c>
    </row>
    <row r="39" spans="2:19">
      <c r="B39" s="19" t="s">
        <v>76</v>
      </c>
      <c r="C39" s="91"/>
      <c r="D39" s="1">
        <v>100</v>
      </c>
      <c r="E39" s="36">
        <v>100</v>
      </c>
      <c r="F39" s="91">
        <v>100</v>
      </c>
      <c r="G39" s="36">
        <v>100</v>
      </c>
      <c r="H39" s="36">
        <v>100</v>
      </c>
      <c r="I39" s="91">
        <v>100</v>
      </c>
      <c r="J39" s="36">
        <v>100</v>
      </c>
      <c r="K39" s="36">
        <v>120</v>
      </c>
      <c r="L39" s="91">
        <v>120</v>
      </c>
      <c r="M39" s="36">
        <v>120</v>
      </c>
      <c r="N39" s="36">
        <v>120</v>
      </c>
      <c r="O39" s="91">
        <v>120</v>
      </c>
    </row>
    <row r="40" spans="2:19">
      <c r="B40" s="19" t="s">
        <v>345</v>
      </c>
      <c r="C40" s="91">
        <v>30000</v>
      </c>
      <c r="D40" s="1">
        <f>C40</f>
        <v>30000</v>
      </c>
      <c r="E40" s="36">
        <f>C40</f>
        <v>30000</v>
      </c>
      <c r="F40" s="91">
        <f>C40</f>
        <v>30000</v>
      </c>
      <c r="G40" s="36">
        <f t="shared" ref="G40:O40" si="14">$C$40</f>
        <v>30000</v>
      </c>
      <c r="H40" s="36">
        <f t="shared" si="14"/>
        <v>30000</v>
      </c>
      <c r="I40" s="91">
        <f t="shared" si="14"/>
        <v>30000</v>
      </c>
      <c r="J40" s="36">
        <f t="shared" si="14"/>
        <v>30000</v>
      </c>
      <c r="K40" s="36">
        <f t="shared" si="14"/>
        <v>30000</v>
      </c>
      <c r="L40" s="91">
        <f t="shared" si="14"/>
        <v>30000</v>
      </c>
      <c r="M40" s="36">
        <f t="shared" si="14"/>
        <v>30000</v>
      </c>
      <c r="N40" s="36">
        <f t="shared" si="14"/>
        <v>30000</v>
      </c>
      <c r="O40" s="91">
        <f t="shared" si="14"/>
        <v>30000</v>
      </c>
      <c r="P40"/>
      <c r="Q40"/>
      <c r="R40"/>
      <c r="S40"/>
    </row>
    <row r="41" spans="2:19">
      <c r="B41" s="19" t="s">
        <v>107</v>
      </c>
      <c r="C41" s="91"/>
      <c r="D41" s="1">
        <v>10000</v>
      </c>
      <c r="E41" s="36">
        <v>10000</v>
      </c>
      <c r="F41" s="91">
        <v>9000</v>
      </c>
      <c r="G41" s="36">
        <v>10000</v>
      </c>
      <c r="H41" s="36">
        <v>9000</v>
      </c>
      <c r="I41" s="91">
        <v>7000</v>
      </c>
      <c r="J41" s="36">
        <v>5000</v>
      </c>
      <c r="K41" s="36">
        <v>5000</v>
      </c>
      <c r="L41" s="91">
        <v>5000</v>
      </c>
      <c r="M41" s="36">
        <v>10000</v>
      </c>
      <c r="N41" s="36">
        <v>10000</v>
      </c>
      <c r="O41" s="91">
        <v>10000</v>
      </c>
      <c r="P41"/>
      <c r="Q41"/>
      <c r="R41"/>
      <c r="S41"/>
    </row>
    <row r="42" spans="2:19">
      <c r="B42" s="19" t="s">
        <v>108</v>
      </c>
      <c r="C42" s="91"/>
      <c r="D42" s="1">
        <v>1200</v>
      </c>
      <c r="E42" s="36">
        <f>D42*1.02</f>
        <v>1224</v>
      </c>
      <c r="F42" s="91">
        <f t="shared" ref="F42:O42" si="15">E42*1.02</f>
        <v>1248.48</v>
      </c>
      <c r="G42" s="36">
        <f t="shared" si="15"/>
        <v>1273.4496000000001</v>
      </c>
      <c r="H42" s="36">
        <f t="shared" si="15"/>
        <v>1298.9185920000002</v>
      </c>
      <c r="I42" s="91">
        <f t="shared" si="15"/>
        <v>1324.8969638400004</v>
      </c>
      <c r="J42" s="36">
        <f t="shared" si="15"/>
        <v>1351.3949031168004</v>
      </c>
      <c r="K42" s="36">
        <f t="shared" si="15"/>
        <v>1378.4228011791365</v>
      </c>
      <c r="L42" s="91">
        <f t="shared" si="15"/>
        <v>1405.9912572027192</v>
      </c>
      <c r="M42" s="36">
        <f t="shared" si="15"/>
        <v>1434.1110823467736</v>
      </c>
      <c r="N42" s="36">
        <f t="shared" si="15"/>
        <v>1462.7933039937091</v>
      </c>
      <c r="O42" s="91">
        <f t="shared" si="15"/>
        <v>1492.0491700735834</v>
      </c>
      <c r="P42"/>
      <c r="Q42"/>
      <c r="R42"/>
      <c r="S42"/>
    </row>
    <row r="43" spans="2:19">
      <c r="B43" s="19" t="s">
        <v>17</v>
      </c>
      <c r="C43" s="91"/>
      <c r="D43" s="1">
        <v>0</v>
      </c>
      <c r="E43" s="36">
        <v>5000</v>
      </c>
      <c r="F43" s="91">
        <v>0</v>
      </c>
      <c r="G43" s="36">
        <v>0</v>
      </c>
      <c r="H43" s="36">
        <v>0</v>
      </c>
      <c r="I43" s="91"/>
      <c r="J43" s="36">
        <v>9000</v>
      </c>
      <c r="K43" s="36">
        <v>0</v>
      </c>
      <c r="L43" s="91">
        <v>0</v>
      </c>
      <c r="M43" s="36">
        <v>0</v>
      </c>
      <c r="N43" s="36">
        <v>0</v>
      </c>
      <c r="O43" s="91">
        <v>0</v>
      </c>
    </row>
    <row r="44" spans="2:19">
      <c r="B44" s="19" t="s">
        <v>18</v>
      </c>
      <c r="C44" s="91"/>
      <c r="D44" s="1">
        <v>100</v>
      </c>
      <c r="E44" s="36">
        <v>100</v>
      </c>
      <c r="F44" s="91">
        <v>100</v>
      </c>
      <c r="G44" s="36">
        <v>100</v>
      </c>
      <c r="H44" s="36">
        <v>100</v>
      </c>
      <c r="I44" s="91">
        <v>100</v>
      </c>
      <c r="J44" s="36">
        <v>100</v>
      </c>
      <c r="K44" s="36">
        <v>100</v>
      </c>
      <c r="L44" s="91">
        <v>100</v>
      </c>
      <c r="M44" s="36">
        <v>100</v>
      </c>
      <c r="N44" s="36">
        <v>100</v>
      </c>
      <c r="O44" s="91">
        <v>100</v>
      </c>
    </row>
    <row r="45" spans="2:19">
      <c r="B45" s="19" t="s">
        <v>88</v>
      </c>
      <c r="C45" s="91"/>
      <c r="D45" s="1">
        <v>400</v>
      </c>
      <c r="E45" s="36">
        <v>400</v>
      </c>
      <c r="F45" s="91">
        <v>400</v>
      </c>
      <c r="G45" s="36">
        <v>400</v>
      </c>
      <c r="H45" s="36">
        <v>400</v>
      </c>
      <c r="I45" s="91">
        <v>400</v>
      </c>
      <c r="J45" s="36">
        <v>400</v>
      </c>
      <c r="K45" s="36">
        <v>400</v>
      </c>
      <c r="L45" s="91">
        <v>400</v>
      </c>
      <c r="M45" s="36">
        <v>400</v>
      </c>
      <c r="N45" s="36">
        <v>400</v>
      </c>
      <c r="O45" s="91">
        <v>400</v>
      </c>
    </row>
    <row r="46" spans="2:19">
      <c r="B46" s="19" t="s">
        <v>105</v>
      </c>
      <c r="C46" s="91"/>
      <c r="D46" s="1">
        <v>125</v>
      </c>
      <c r="E46" s="36">
        <v>125</v>
      </c>
      <c r="F46" s="91">
        <v>125</v>
      </c>
      <c r="G46" s="36">
        <v>125</v>
      </c>
      <c r="H46" s="36">
        <v>125</v>
      </c>
      <c r="I46" s="91">
        <v>125</v>
      </c>
      <c r="J46" s="36">
        <v>125</v>
      </c>
      <c r="K46" s="36">
        <v>125</v>
      </c>
      <c r="L46" s="91">
        <v>125</v>
      </c>
      <c r="M46" s="36">
        <v>125</v>
      </c>
      <c r="N46" s="36">
        <v>125</v>
      </c>
      <c r="O46" s="91">
        <v>125</v>
      </c>
    </row>
    <row r="47" spans="2:19">
      <c r="B47" s="19" t="s">
        <v>19</v>
      </c>
      <c r="C47" s="91"/>
      <c r="D47" s="1">
        <v>700</v>
      </c>
      <c r="E47" s="36">
        <f>D47</f>
        <v>700</v>
      </c>
      <c r="F47" s="91">
        <f t="shared" ref="F47:O47" si="16">E47</f>
        <v>700</v>
      </c>
      <c r="G47" s="36">
        <f t="shared" si="16"/>
        <v>700</v>
      </c>
      <c r="H47" s="36">
        <f t="shared" si="16"/>
        <v>700</v>
      </c>
      <c r="I47" s="91">
        <f t="shared" si="16"/>
        <v>700</v>
      </c>
      <c r="J47" s="36">
        <f t="shared" si="16"/>
        <v>700</v>
      </c>
      <c r="K47" s="36">
        <f t="shared" si="16"/>
        <v>700</v>
      </c>
      <c r="L47" s="91">
        <f t="shared" si="16"/>
        <v>700</v>
      </c>
      <c r="M47" s="36">
        <f t="shared" si="16"/>
        <v>700</v>
      </c>
      <c r="N47" s="36">
        <f t="shared" si="16"/>
        <v>700</v>
      </c>
      <c r="O47" s="91">
        <f t="shared" si="16"/>
        <v>700</v>
      </c>
    </row>
    <row r="48" spans="2:19">
      <c r="B48" s="19" t="s">
        <v>114</v>
      </c>
      <c r="C48" s="91"/>
      <c r="D48" s="1">
        <v>1000</v>
      </c>
      <c r="E48" s="36">
        <v>1200</v>
      </c>
      <c r="F48" s="91">
        <f>E48*1.03</f>
        <v>1236</v>
      </c>
      <c r="G48" s="36">
        <f t="shared" ref="G48:O48" si="17">F48*1.03</f>
        <v>1273.08</v>
      </c>
      <c r="H48" s="36">
        <f t="shared" si="17"/>
        <v>1311.2724000000001</v>
      </c>
      <c r="I48" s="91">
        <f t="shared" si="17"/>
        <v>1350.610572</v>
      </c>
      <c r="J48" s="36">
        <f t="shared" si="17"/>
        <v>1391.12888916</v>
      </c>
      <c r="K48" s="36">
        <f t="shared" si="17"/>
        <v>1432.8627558348001</v>
      </c>
      <c r="L48" s="91">
        <f t="shared" si="17"/>
        <v>1475.848638509844</v>
      </c>
      <c r="M48" s="36">
        <f t="shared" si="17"/>
        <v>1520.1240976651393</v>
      </c>
      <c r="N48" s="36">
        <f t="shared" si="17"/>
        <v>1565.7278205950936</v>
      </c>
      <c r="O48" s="91">
        <f t="shared" si="17"/>
        <v>1612.6996552129465</v>
      </c>
    </row>
    <row r="49" spans="2:16" s="4" customFormat="1">
      <c r="B49" s="64" t="s">
        <v>79</v>
      </c>
      <c r="C49" s="148" t="s">
        <v>70</v>
      </c>
      <c r="D49" s="4">
        <f>Marketing!D3</f>
        <v>43486.66</v>
      </c>
      <c r="E49" s="39">
        <f>Marketing!E3</f>
        <v>63486.66</v>
      </c>
      <c r="F49" s="108">
        <f>Marketing!F3</f>
        <v>43486.66</v>
      </c>
      <c r="G49" s="39">
        <f>Marketing!G3</f>
        <v>46686.66</v>
      </c>
      <c r="H49" s="39">
        <f>Marketing!H3</f>
        <v>41161.660000000003</v>
      </c>
      <c r="I49" s="108">
        <f>Marketing!I3</f>
        <v>49936.66</v>
      </c>
      <c r="J49" s="39">
        <f>Marketing!J3</f>
        <v>45736.66</v>
      </c>
      <c r="K49" s="39">
        <f>Marketing!K3</f>
        <v>41986.66</v>
      </c>
      <c r="L49" s="108">
        <f>Marketing!L3</f>
        <v>51986.66</v>
      </c>
      <c r="M49" s="39">
        <f>Marketing!M3</f>
        <v>71711.66</v>
      </c>
      <c r="N49" s="39">
        <f>Marketing!N3</f>
        <v>49936.66</v>
      </c>
      <c r="O49" s="108">
        <f>Marketing!O3</f>
        <v>37661.660000000003</v>
      </c>
    </row>
    <row r="50" spans="2:16" s="4" customFormat="1">
      <c r="B50" s="129" t="s">
        <v>89</v>
      </c>
      <c r="C50" s="148"/>
      <c r="D50" s="4">
        <v>8788</v>
      </c>
      <c r="E50" s="39">
        <f t="shared" ref="E50:L51" si="18">D50</f>
        <v>8788</v>
      </c>
      <c r="F50" s="108">
        <f t="shared" si="18"/>
        <v>8788</v>
      </c>
      <c r="G50" s="39">
        <f t="shared" si="18"/>
        <v>8788</v>
      </c>
      <c r="H50" s="39">
        <f t="shared" si="18"/>
        <v>8788</v>
      </c>
      <c r="I50" s="108">
        <f t="shared" si="18"/>
        <v>8788</v>
      </c>
      <c r="J50" s="39">
        <f t="shared" si="18"/>
        <v>8788</v>
      </c>
      <c r="K50" s="39">
        <f t="shared" si="18"/>
        <v>8788</v>
      </c>
      <c r="L50" s="108">
        <f t="shared" si="18"/>
        <v>8788</v>
      </c>
      <c r="M50" s="39">
        <f t="shared" ref="M50:O51" si="19">L50</f>
        <v>8788</v>
      </c>
      <c r="N50" s="39">
        <f t="shared" si="19"/>
        <v>8788</v>
      </c>
      <c r="O50" s="108">
        <f t="shared" si="19"/>
        <v>8788</v>
      </c>
    </row>
    <row r="51" spans="2:16" s="4" customFormat="1">
      <c r="B51" s="129" t="s">
        <v>100</v>
      </c>
      <c r="C51" s="148"/>
      <c r="D51" s="4">
        <v>3501</v>
      </c>
      <c r="E51" s="39">
        <f t="shared" si="18"/>
        <v>3501</v>
      </c>
      <c r="F51" s="108">
        <f t="shared" si="18"/>
        <v>3501</v>
      </c>
      <c r="G51" s="39">
        <f t="shared" si="18"/>
        <v>3501</v>
      </c>
      <c r="H51" s="39">
        <f t="shared" si="18"/>
        <v>3501</v>
      </c>
      <c r="I51" s="108">
        <f t="shared" si="18"/>
        <v>3501</v>
      </c>
      <c r="J51" s="39">
        <f t="shared" si="18"/>
        <v>3501</v>
      </c>
      <c r="K51" s="39">
        <f t="shared" si="18"/>
        <v>3501</v>
      </c>
      <c r="L51" s="108">
        <f t="shared" si="18"/>
        <v>3501</v>
      </c>
      <c r="M51" s="39">
        <f t="shared" si="19"/>
        <v>3501</v>
      </c>
      <c r="N51" s="39">
        <f t="shared" si="19"/>
        <v>3501</v>
      </c>
      <c r="O51" s="108">
        <f t="shared" si="19"/>
        <v>3501</v>
      </c>
    </row>
    <row r="52" spans="2:16" s="4" customFormat="1">
      <c r="B52" s="488" t="s">
        <v>398</v>
      </c>
      <c r="C52" s="149"/>
      <c r="D52" s="489">
        <f t="shared" ref="D52:O52" si="20">IF($R$6=1,36000,0)</f>
        <v>0</v>
      </c>
      <c r="E52" s="490">
        <f t="shared" si="20"/>
        <v>0</v>
      </c>
      <c r="F52" s="491">
        <f t="shared" si="20"/>
        <v>0</v>
      </c>
      <c r="G52" s="490">
        <f t="shared" si="20"/>
        <v>0</v>
      </c>
      <c r="H52" s="490">
        <f t="shared" si="20"/>
        <v>0</v>
      </c>
      <c r="I52" s="491">
        <f t="shared" si="20"/>
        <v>0</v>
      </c>
      <c r="J52" s="490">
        <f t="shared" si="20"/>
        <v>0</v>
      </c>
      <c r="K52" s="490">
        <f t="shared" si="20"/>
        <v>0</v>
      </c>
      <c r="L52" s="491">
        <f t="shared" si="20"/>
        <v>0</v>
      </c>
      <c r="M52" s="490">
        <f t="shared" si="20"/>
        <v>0</v>
      </c>
      <c r="N52" s="490">
        <f t="shared" si="20"/>
        <v>0</v>
      </c>
      <c r="O52" s="491">
        <f t="shared" si="20"/>
        <v>0</v>
      </c>
    </row>
    <row r="53" spans="2:16">
      <c r="B53" s="19" t="s">
        <v>115</v>
      </c>
      <c r="C53" s="91"/>
      <c r="D53" s="1">
        <v>0</v>
      </c>
      <c r="E53" s="37" t="s">
        <v>136</v>
      </c>
      <c r="F53" s="91">
        <v>5000</v>
      </c>
      <c r="G53" s="36">
        <v>0</v>
      </c>
      <c r="H53" s="36">
        <v>0</v>
      </c>
      <c r="I53" s="91">
        <v>0</v>
      </c>
      <c r="J53" s="36">
        <v>15000</v>
      </c>
      <c r="K53" s="36">
        <v>0</v>
      </c>
      <c r="L53" s="91">
        <v>0</v>
      </c>
      <c r="M53" s="36">
        <v>0</v>
      </c>
      <c r="N53" s="36">
        <v>0</v>
      </c>
      <c r="O53" s="91">
        <v>0</v>
      </c>
    </row>
    <row r="54" spans="2:16">
      <c r="B54" s="96"/>
      <c r="C54" s="91"/>
      <c r="D54" s="98"/>
      <c r="E54" s="97"/>
      <c r="F54" s="105"/>
      <c r="G54" s="97"/>
      <c r="H54" s="97"/>
      <c r="I54" s="105"/>
      <c r="J54" s="97"/>
      <c r="K54" s="97"/>
      <c r="L54" s="105"/>
      <c r="M54" s="97"/>
      <c r="N54" s="97"/>
      <c r="O54" s="105"/>
    </row>
    <row r="55" spans="2:16" ht="13.5" thickBot="1">
      <c r="B55" s="19" t="s">
        <v>20</v>
      </c>
      <c r="C55" s="91"/>
      <c r="D55" s="68">
        <v>500</v>
      </c>
      <c r="E55" s="68">
        <v>500</v>
      </c>
      <c r="F55" s="109">
        <v>500</v>
      </c>
      <c r="G55" s="68">
        <v>500</v>
      </c>
      <c r="H55" s="68">
        <v>500</v>
      </c>
      <c r="I55" s="109">
        <v>500</v>
      </c>
      <c r="J55" s="68">
        <v>500</v>
      </c>
      <c r="K55" s="68">
        <v>500</v>
      </c>
      <c r="L55" s="109">
        <v>500</v>
      </c>
      <c r="M55" s="68">
        <v>500</v>
      </c>
      <c r="N55" s="68">
        <v>500</v>
      </c>
      <c r="O55" s="109">
        <v>500</v>
      </c>
    </row>
    <row r="56" spans="2:16" ht="13.5" thickTop="1">
      <c r="B56" s="19"/>
      <c r="C56" s="91"/>
      <c r="D56" s="36"/>
      <c r="E56" s="36"/>
      <c r="F56" s="91"/>
      <c r="I56" s="91"/>
      <c r="L56" s="91"/>
      <c r="O56" s="91"/>
      <c r="P56" s="3" t="s">
        <v>150</v>
      </c>
    </row>
    <row r="57" spans="2:16" s="33" customFormat="1">
      <c r="B57" s="24" t="s">
        <v>48</v>
      </c>
      <c r="C57" s="110"/>
      <c r="D57" s="33">
        <f t="shared" ref="D57:L57" si="21">SUM(D25:D55)</f>
        <v>379195.66000000003</v>
      </c>
      <c r="E57" s="33">
        <f t="shared" si="21"/>
        <v>434640.86</v>
      </c>
      <c r="F57" s="110">
        <f t="shared" si="21"/>
        <v>431065.71499999997</v>
      </c>
      <c r="G57" s="33">
        <f t="shared" si="21"/>
        <v>444422.23184999998</v>
      </c>
      <c r="H57" s="33">
        <f t="shared" si="21"/>
        <v>425477.00459949998</v>
      </c>
      <c r="I57" s="110">
        <f t="shared" si="21"/>
        <v>421975.74634156493</v>
      </c>
      <c r="J57" s="33">
        <f t="shared" si="21"/>
        <v>446754.70287717355</v>
      </c>
      <c r="K57" s="33">
        <f t="shared" si="21"/>
        <v>425172.95021670766</v>
      </c>
      <c r="L57" s="110">
        <f t="shared" si="21"/>
        <v>421130.40668040956</v>
      </c>
      <c r="M57" s="33">
        <f>SUM(M25:M55)</f>
        <v>486022.94575272291</v>
      </c>
      <c r="N57" s="33">
        <f>SUM(N25:N55)</f>
        <v>501183.87947175943</v>
      </c>
      <c r="O57" s="110">
        <f>SUM(O25:O55)</f>
        <v>445012.80969301448</v>
      </c>
      <c r="P57" s="33">
        <f>SUM(D57:O57)</f>
        <v>5262054.9124828521</v>
      </c>
    </row>
    <row r="58" spans="2:16">
      <c r="B58"/>
      <c r="C58"/>
      <c r="D58"/>
      <c r="E58" s="35"/>
      <c r="F58"/>
      <c r="G58"/>
      <c r="H58"/>
      <c r="I58"/>
      <c r="J58"/>
      <c r="K58"/>
      <c r="L58"/>
      <c r="M58"/>
      <c r="N58"/>
      <c r="O58"/>
    </row>
    <row r="59" spans="2:16">
      <c r="B59"/>
      <c r="C59"/>
      <c r="D59"/>
      <c r="E59" s="35"/>
      <c r="F59"/>
      <c r="G59"/>
      <c r="H59"/>
      <c r="I59"/>
      <c r="J59"/>
      <c r="K59"/>
      <c r="L59"/>
      <c r="M59"/>
      <c r="N59"/>
      <c r="O59"/>
    </row>
    <row r="60" spans="2:16">
      <c r="B60"/>
      <c r="C60"/>
      <c r="D60"/>
      <c r="E60" s="35"/>
      <c r="F60"/>
      <c r="G60"/>
      <c r="H60"/>
      <c r="I60"/>
      <c r="J60"/>
      <c r="K60"/>
      <c r="L60"/>
      <c r="M60"/>
      <c r="N60"/>
      <c r="O60"/>
    </row>
    <row r="61" spans="2:16" ht="15.75">
      <c r="B61"/>
      <c r="C61" s="404"/>
      <c r="D61" s="648" t="s">
        <v>161</v>
      </c>
      <c r="E61" s="648"/>
      <c r="F61" s="650" t="s">
        <v>158</v>
      </c>
      <c r="G61" s="650"/>
      <c r="H61" s="648" t="s">
        <v>159</v>
      </c>
      <c r="I61" s="648"/>
      <c r="J61" s="648" t="s">
        <v>160</v>
      </c>
      <c r="K61" s="648"/>
      <c r="L61"/>
      <c r="M61"/>
      <c r="N61"/>
      <c r="O61"/>
    </row>
    <row r="62" spans="2:16" ht="15.75">
      <c r="C62" s="405" t="s">
        <v>165</v>
      </c>
      <c r="D62" s="649">
        <f>D3</f>
        <v>400000</v>
      </c>
      <c r="E62" s="649"/>
      <c r="F62" s="649">
        <f>D66</f>
        <v>409984.76500000013</v>
      </c>
      <c r="G62" s="649"/>
      <c r="H62" s="649">
        <f>F66</f>
        <v>487509.78220893536</v>
      </c>
      <c r="I62" s="649"/>
      <c r="J62" s="649">
        <f>H66</f>
        <v>14967.722434644587</v>
      </c>
      <c r="K62" s="649"/>
      <c r="L62"/>
      <c r="M62"/>
      <c r="N62"/>
      <c r="O62"/>
    </row>
    <row r="63" spans="2:16" ht="15.75">
      <c r="C63" s="405" t="s">
        <v>154</v>
      </c>
      <c r="D63" s="649">
        <f>SUM(D7:F7)</f>
        <v>1304887</v>
      </c>
      <c r="E63" s="649"/>
      <c r="F63" s="649">
        <f>SUM(G7:I7)</f>
        <v>1369400</v>
      </c>
      <c r="G63" s="649"/>
      <c r="H63" s="649">
        <f>SUM(J7:L7)</f>
        <v>820516</v>
      </c>
      <c r="I63" s="649"/>
      <c r="J63" s="649">
        <f>SUM(M7:O7)</f>
        <v>2046200</v>
      </c>
      <c r="K63" s="649"/>
      <c r="L63"/>
      <c r="M63"/>
      <c r="N63"/>
      <c r="O63"/>
    </row>
    <row r="64" spans="2:16" ht="15.75">
      <c r="C64" s="405" t="s">
        <v>14</v>
      </c>
      <c r="D64" s="649">
        <f>SUM(D8:F8)+D6</f>
        <v>-1294902.2349999999</v>
      </c>
      <c r="E64" s="649"/>
      <c r="F64" s="649">
        <f>SUM(G8:I8)</f>
        <v>-1291874.9827910648</v>
      </c>
      <c r="G64" s="649"/>
      <c r="H64" s="649">
        <f>SUM(J8:L8)</f>
        <v>-1293058.0597742908</v>
      </c>
      <c r="I64" s="649"/>
      <c r="J64" s="649">
        <f>SUM(M8:O8)</f>
        <v>-1432219.6349174967</v>
      </c>
      <c r="K64" s="649"/>
      <c r="L64"/>
      <c r="M64"/>
      <c r="N64"/>
      <c r="O64"/>
    </row>
    <row r="65" spans="2:15" ht="16.5" thickBot="1">
      <c r="C65" s="428" t="s">
        <v>314</v>
      </c>
      <c r="D65" s="646">
        <f>D63+D64</f>
        <v>9984.7650000001304</v>
      </c>
      <c r="E65" s="646"/>
      <c r="F65" s="646">
        <f>F63+F64</f>
        <v>77525.017208935227</v>
      </c>
      <c r="G65" s="646"/>
      <c r="H65" s="646">
        <f>H63+H64</f>
        <v>-472542.05977429077</v>
      </c>
      <c r="I65" s="646"/>
      <c r="J65" s="646">
        <f>J63+J64</f>
        <v>613980.3650825033</v>
      </c>
      <c r="K65" s="646"/>
      <c r="L65"/>
      <c r="M65"/>
      <c r="N65"/>
      <c r="O65"/>
    </row>
    <row r="66" spans="2:15" ht="16.5" thickTop="1">
      <c r="B66" s="406"/>
      <c r="C66" s="405" t="s">
        <v>21</v>
      </c>
      <c r="D66" s="647">
        <f>D62+D65</f>
        <v>409984.76500000013</v>
      </c>
      <c r="E66" s="647"/>
      <c r="F66" s="647">
        <f>F62+F65</f>
        <v>487509.78220893536</v>
      </c>
      <c r="G66" s="647"/>
      <c r="H66" s="647">
        <f>H62+H65</f>
        <v>14967.722434644587</v>
      </c>
      <c r="I66" s="647"/>
      <c r="J66" s="647">
        <f>J62+J65</f>
        <v>628948.08751714788</v>
      </c>
      <c r="K66" s="647"/>
      <c r="L66"/>
      <c r="M66"/>
      <c r="N66"/>
      <c r="O66"/>
    </row>
    <row r="67" spans="2:15">
      <c r="B67"/>
      <c r="C67"/>
      <c r="D67"/>
      <c r="E67" s="35"/>
      <c r="F67"/>
      <c r="G67"/>
      <c r="H67"/>
      <c r="I67"/>
      <c r="J67"/>
      <c r="K67"/>
      <c r="L67"/>
      <c r="M67"/>
      <c r="N67"/>
      <c r="O67"/>
    </row>
    <row r="68" spans="2:15">
      <c r="B68"/>
      <c r="C68"/>
      <c r="D68"/>
      <c r="E68" s="35"/>
      <c r="F68"/>
      <c r="G68"/>
      <c r="H68"/>
      <c r="I68"/>
      <c r="J68"/>
      <c r="K68"/>
      <c r="L68"/>
      <c r="M68"/>
      <c r="N68"/>
      <c r="O68"/>
    </row>
    <row r="69" spans="2:15">
      <c r="B69"/>
      <c r="C69"/>
      <c r="D69"/>
      <c r="E69" s="35"/>
      <c r="F69"/>
      <c r="G69"/>
      <c r="H69"/>
      <c r="I69"/>
      <c r="J69"/>
      <c r="K69"/>
      <c r="L69"/>
      <c r="M69"/>
      <c r="N69"/>
      <c r="O69"/>
    </row>
    <row r="70" spans="2:15">
      <c r="B70"/>
      <c r="C70"/>
      <c r="D70"/>
      <c r="E70" s="35"/>
      <c r="F70"/>
      <c r="G70"/>
      <c r="H70"/>
      <c r="I70"/>
      <c r="J70"/>
      <c r="K70"/>
      <c r="L70"/>
      <c r="M70"/>
      <c r="N70"/>
      <c r="O70"/>
    </row>
    <row r="71" spans="2:15">
      <c r="B71"/>
      <c r="C71"/>
      <c r="D71"/>
      <c r="E71" s="35"/>
      <c r="F71"/>
      <c r="G71"/>
      <c r="H71"/>
      <c r="I71"/>
      <c r="J71"/>
      <c r="K71"/>
      <c r="L71"/>
      <c r="M71"/>
      <c r="N71"/>
      <c r="O71"/>
    </row>
    <row r="72" spans="2:15">
      <c r="B72"/>
      <c r="C72"/>
      <c r="D72"/>
      <c r="E72" s="35"/>
      <c r="F72"/>
      <c r="G72"/>
      <c r="H72"/>
      <c r="I72"/>
      <c r="J72"/>
      <c r="K72"/>
      <c r="L72"/>
      <c r="M72"/>
      <c r="N72"/>
      <c r="O72"/>
    </row>
    <row r="73" spans="2:15">
      <c r="B73"/>
      <c r="C73"/>
      <c r="D73"/>
      <c r="E73" s="35"/>
      <c r="F73"/>
      <c r="G73"/>
      <c r="H73"/>
      <c r="I73"/>
      <c r="J73"/>
      <c r="K73"/>
      <c r="L73"/>
      <c r="M73"/>
      <c r="N73"/>
      <c r="O73"/>
    </row>
    <row r="74" spans="2:15">
      <c r="B74"/>
      <c r="C74"/>
      <c r="D74"/>
      <c r="E74" s="35"/>
      <c r="F74"/>
      <c r="G74"/>
      <c r="H74"/>
      <c r="I74"/>
      <c r="J74"/>
      <c r="K74"/>
      <c r="L74"/>
      <c r="M74"/>
      <c r="N74"/>
      <c r="O74"/>
    </row>
    <row r="75" spans="2:15">
      <c r="B75"/>
      <c r="C75"/>
      <c r="D75"/>
      <c r="E75" s="35"/>
      <c r="F75"/>
      <c r="G75"/>
      <c r="H75"/>
      <c r="I75"/>
      <c r="J75"/>
      <c r="K75"/>
      <c r="L75"/>
      <c r="M75"/>
      <c r="N75"/>
      <c r="O75"/>
    </row>
    <row r="76" spans="2:15">
      <c r="B76"/>
      <c r="C76"/>
      <c r="D76"/>
      <c r="E76" s="35"/>
      <c r="F76"/>
      <c r="G76"/>
      <c r="H76"/>
      <c r="I76"/>
      <c r="J76"/>
      <c r="K76"/>
      <c r="L76"/>
      <c r="M76"/>
      <c r="N76"/>
      <c r="O76"/>
    </row>
    <row r="77" spans="2:15">
      <c r="B77"/>
      <c r="C77"/>
      <c r="D77"/>
      <c r="E77" s="35"/>
      <c r="F77"/>
      <c r="G77"/>
      <c r="H77"/>
      <c r="I77"/>
      <c r="J77"/>
      <c r="K77"/>
      <c r="L77"/>
      <c r="M77"/>
      <c r="N77"/>
      <c r="O77"/>
    </row>
    <row r="78" spans="2:15">
      <c r="B78"/>
      <c r="C78"/>
      <c r="D78"/>
      <c r="E78" s="35"/>
      <c r="F78"/>
      <c r="G78"/>
      <c r="H78"/>
      <c r="I78"/>
      <c r="J78"/>
      <c r="K78"/>
      <c r="L78"/>
      <c r="M78"/>
      <c r="N78"/>
      <c r="O78"/>
    </row>
    <row r="79" spans="2:15">
      <c r="B79"/>
      <c r="C79"/>
      <c r="D79"/>
      <c r="E79" s="35"/>
      <c r="F79"/>
      <c r="G79"/>
      <c r="H79"/>
      <c r="I79"/>
      <c r="J79"/>
      <c r="K79"/>
      <c r="L79"/>
      <c r="M79"/>
      <c r="N79"/>
      <c r="O79"/>
    </row>
    <row r="80" spans="2:15">
      <c r="B80"/>
      <c r="C80"/>
      <c r="D80"/>
      <c r="E80" s="35"/>
      <c r="F80"/>
      <c r="G80"/>
      <c r="H80"/>
      <c r="I80"/>
      <c r="J80"/>
      <c r="K80"/>
      <c r="L80"/>
      <c r="M80"/>
      <c r="N80"/>
      <c r="O80"/>
    </row>
    <row r="81" spans="2:15">
      <c r="B81"/>
      <c r="C81"/>
      <c r="D81"/>
      <c r="E81" s="35"/>
      <c r="F81"/>
      <c r="G81"/>
      <c r="H81"/>
      <c r="I81"/>
      <c r="J81"/>
      <c r="K81"/>
      <c r="L81"/>
      <c r="M81"/>
      <c r="N81"/>
      <c r="O81"/>
    </row>
    <row r="82" spans="2:15">
      <c r="B82"/>
      <c r="C82"/>
      <c r="D82"/>
      <c r="E82" s="35"/>
      <c r="F82"/>
      <c r="G82"/>
      <c r="H82"/>
      <c r="I82"/>
      <c r="J82"/>
      <c r="K82"/>
      <c r="L82"/>
      <c r="M82"/>
      <c r="N82"/>
      <c r="O82"/>
    </row>
    <row r="83" spans="2:15">
      <c r="B83"/>
      <c r="C83"/>
      <c r="D83"/>
      <c r="E83" s="35"/>
      <c r="F83"/>
      <c r="G83"/>
      <c r="H83"/>
      <c r="I83"/>
      <c r="J83"/>
      <c r="K83"/>
      <c r="L83"/>
      <c r="M83"/>
      <c r="N83"/>
      <c r="O83"/>
    </row>
    <row r="84" spans="2:15">
      <c r="B84"/>
      <c r="C84"/>
      <c r="D84"/>
      <c r="E84" s="35"/>
      <c r="F84"/>
      <c r="G84"/>
      <c r="H84"/>
      <c r="I84"/>
      <c r="J84"/>
      <c r="K84"/>
      <c r="L84"/>
      <c r="M84"/>
      <c r="N84"/>
      <c r="O84"/>
    </row>
    <row r="85" spans="2:15">
      <c r="B85"/>
      <c r="C85"/>
      <c r="D85"/>
      <c r="E85" s="35"/>
      <c r="F85"/>
      <c r="G85"/>
      <c r="H85"/>
      <c r="I85"/>
      <c r="J85"/>
      <c r="K85"/>
      <c r="L85"/>
      <c r="M85"/>
      <c r="N85"/>
      <c r="O85"/>
    </row>
    <row r="86" spans="2:15">
      <c r="B86"/>
      <c r="C86"/>
      <c r="D86"/>
      <c r="E86" s="35"/>
      <c r="F86"/>
      <c r="G86"/>
      <c r="H86"/>
      <c r="I86"/>
      <c r="J86"/>
      <c r="K86"/>
      <c r="L86"/>
      <c r="M86"/>
      <c r="N86"/>
      <c r="O86"/>
    </row>
    <row r="87" spans="2:15">
      <c r="B87"/>
      <c r="C87"/>
      <c r="D87"/>
      <c r="E87" s="35"/>
      <c r="F87"/>
      <c r="G87"/>
      <c r="H87"/>
      <c r="I87"/>
      <c r="J87"/>
      <c r="K87"/>
      <c r="L87"/>
      <c r="M87"/>
      <c r="N87"/>
      <c r="O87"/>
    </row>
    <row r="88" spans="2:15">
      <c r="B88"/>
      <c r="C88"/>
      <c r="D88"/>
      <c r="E88" s="35"/>
      <c r="F88"/>
      <c r="G88"/>
      <c r="H88"/>
      <c r="I88"/>
      <c r="J88"/>
      <c r="K88"/>
      <c r="L88"/>
      <c r="M88"/>
      <c r="N88"/>
      <c r="O88"/>
    </row>
    <row r="89" spans="2:15">
      <c r="B89"/>
      <c r="C89"/>
      <c r="D89"/>
      <c r="E89" s="35"/>
      <c r="F89"/>
      <c r="G89"/>
      <c r="H89"/>
      <c r="I89"/>
      <c r="J89"/>
      <c r="K89"/>
      <c r="L89"/>
      <c r="M89"/>
      <c r="N89"/>
      <c r="O89"/>
    </row>
    <row r="90" spans="2:15">
      <c r="B90"/>
      <c r="C90"/>
      <c r="D90"/>
      <c r="E90" s="35"/>
      <c r="F90"/>
      <c r="G90"/>
      <c r="H90"/>
      <c r="I90"/>
      <c r="J90"/>
      <c r="K90"/>
      <c r="L90"/>
      <c r="M90"/>
      <c r="N90"/>
      <c r="O90"/>
    </row>
    <row r="91" spans="2:15">
      <c r="B91"/>
      <c r="C91"/>
      <c r="D91"/>
      <c r="E91" s="35"/>
      <c r="F91"/>
      <c r="G91"/>
      <c r="H91"/>
      <c r="I91"/>
      <c r="J91"/>
      <c r="K91"/>
      <c r="L91"/>
      <c r="M91"/>
      <c r="N91"/>
      <c r="O91"/>
    </row>
    <row r="92" spans="2:15">
      <c r="B92"/>
      <c r="C92"/>
      <c r="D92"/>
      <c r="E92" s="35"/>
      <c r="F92"/>
      <c r="G92"/>
      <c r="H92"/>
      <c r="I92"/>
      <c r="J92"/>
      <c r="K92"/>
      <c r="L92"/>
      <c r="M92"/>
      <c r="N92"/>
      <c r="O92"/>
    </row>
    <row r="93" spans="2:15">
      <c r="B93"/>
      <c r="C93"/>
      <c r="D93"/>
      <c r="E93" s="35"/>
      <c r="F93"/>
      <c r="G93"/>
      <c r="H93"/>
      <c r="I93"/>
      <c r="J93"/>
      <c r="K93"/>
      <c r="L93"/>
      <c r="M93"/>
      <c r="N93"/>
      <c r="O93"/>
    </row>
    <row r="94" spans="2:15">
      <c r="B94"/>
      <c r="C94"/>
      <c r="D94"/>
      <c r="E94" s="35"/>
      <c r="F94"/>
      <c r="G94"/>
      <c r="H94"/>
      <c r="I94"/>
      <c r="J94"/>
      <c r="K94"/>
      <c r="L94"/>
      <c r="M94"/>
      <c r="N94"/>
      <c r="O94"/>
    </row>
    <row r="95" spans="2:15">
      <c r="B95"/>
      <c r="C95"/>
      <c r="D95"/>
      <c r="E95" s="35"/>
      <c r="F95"/>
      <c r="G95"/>
      <c r="H95"/>
      <c r="I95"/>
      <c r="J95"/>
      <c r="K95"/>
      <c r="L95"/>
      <c r="M95"/>
      <c r="N95"/>
      <c r="O95"/>
    </row>
    <row r="96" spans="2:15">
      <c r="B96"/>
      <c r="C96"/>
      <c r="D96"/>
      <c r="E96" s="35"/>
      <c r="F96"/>
      <c r="G96"/>
      <c r="H96"/>
      <c r="I96"/>
      <c r="J96"/>
      <c r="K96"/>
      <c r="L96"/>
      <c r="M96"/>
      <c r="N96"/>
      <c r="O96"/>
    </row>
    <row r="97" spans="2:15">
      <c r="B97"/>
      <c r="C97"/>
      <c r="D97"/>
      <c r="E97" s="35"/>
      <c r="F97"/>
      <c r="G97"/>
      <c r="H97"/>
      <c r="I97"/>
      <c r="J97"/>
      <c r="K97"/>
      <c r="L97"/>
      <c r="M97"/>
      <c r="N97"/>
      <c r="O97"/>
    </row>
    <row r="98" spans="2:15">
      <c r="B98"/>
      <c r="C98"/>
      <c r="D98"/>
      <c r="E98" s="35"/>
      <c r="F98"/>
      <c r="G98"/>
      <c r="H98"/>
      <c r="I98"/>
      <c r="J98"/>
      <c r="K98"/>
      <c r="L98"/>
      <c r="M98"/>
      <c r="N98"/>
      <c r="O98"/>
    </row>
    <row r="99" spans="2:15">
      <c r="B99"/>
      <c r="C99"/>
      <c r="D99"/>
      <c r="E99" s="35"/>
      <c r="F99"/>
      <c r="G99"/>
      <c r="H99"/>
      <c r="I99"/>
      <c r="J99"/>
      <c r="K99"/>
      <c r="L99"/>
      <c r="M99"/>
      <c r="N99"/>
      <c r="O99"/>
    </row>
    <row r="100" spans="2:15">
      <c r="B100"/>
      <c r="C100"/>
      <c r="D100"/>
      <c r="E100" s="35"/>
      <c r="F100"/>
      <c r="G100"/>
      <c r="H100"/>
      <c r="I100"/>
      <c r="J100"/>
      <c r="K100"/>
      <c r="L100"/>
      <c r="M100"/>
      <c r="N100"/>
      <c r="O100"/>
    </row>
    <row r="101" spans="2:15">
      <c r="B101"/>
      <c r="C101"/>
      <c r="D101"/>
      <c r="E101" s="35"/>
      <c r="F101"/>
      <c r="G101"/>
      <c r="H101"/>
      <c r="I101"/>
      <c r="J101"/>
      <c r="K101"/>
      <c r="L101"/>
      <c r="M101"/>
      <c r="N101"/>
      <c r="O101"/>
    </row>
    <row r="102" spans="2:15">
      <c r="B102"/>
      <c r="C102"/>
      <c r="D102"/>
      <c r="E102" s="35"/>
      <c r="F102"/>
      <c r="G102"/>
      <c r="H102"/>
      <c r="I102"/>
      <c r="J102"/>
      <c r="K102"/>
      <c r="L102"/>
      <c r="M102"/>
      <c r="N102"/>
      <c r="O102"/>
    </row>
    <row r="103" spans="2:15">
      <c r="B103"/>
      <c r="C103"/>
      <c r="D103"/>
      <c r="E103" s="35"/>
      <c r="F103"/>
      <c r="G103"/>
      <c r="H103"/>
      <c r="I103"/>
      <c r="J103"/>
      <c r="K103"/>
      <c r="L103"/>
      <c r="M103"/>
      <c r="N103"/>
      <c r="O103"/>
    </row>
    <row r="104" spans="2:15">
      <c r="B104"/>
      <c r="C104"/>
      <c r="D104"/>
      <c r="E104" s="35"/>
      <c r="F104"/>
      <c r="G104"/>
      <c r="H104"/>
      <c r="I104"/>
      <c r="J104"/>
      <c r="K104"/>
      <c r="L104"/>
      <c r="M104"/>
      <c r="N104"/>
      <c r="O104"/>
    </row>
    <row r="105" spans="2:15">
      <c r="B105"/>
      <c r="C105"/>
      <c r="D105"/>
      <c r="E105" s="35"/>
      <c r="F105"/>
      <c r="G105"/>
      <c r="H105"/>
      <c r="I105"/>
      <c r="J105"/>
      <c r="K105"/>
      <c r="L105"/>
      <c r="M105"/>
      <c r="N105"/>
      <c r="O105"/>
    </row>
    <row r="106" spans="2:15">
      <c r="B106"/>
      <c r="C106"/>
      <c r="D106"/>
      <c r="E106" s="35"/>
      <c r="F106"/>
      <c r="G106"/>
      <c r="H106"/>
      <c r="I106"/>
      <c r="J106"/>
      <c r="K106"/>
      <c r="L106"/>
      <c r="M106"/>
      <c r="N106"/>
      <c r="O106"/>
    </row>
    <row r="107" spans="2:15">
      <c r="B107"/>
      <c r="C107"/>
      <c r="D107"/>
      <c r="E107" s="35"/>
      <c r="F107"/>
      <c r="G107"/>
      <c r="H107"/>
      <c r="I107"/>
      <c r="J107"/>
      <c r="K107"/>
      <c r="L107"/>
      <c r="M107"/>
      <c r="N107"/>
      <c r="O107"/>
    </row>
    <row r="108" spans="2:15">
      <c r="B108"/>
      <c r="C108"/>
      <c r="D108"/>
      <c r="E108" s="35"/>
      <c r="F108"/>
      <c r="G108"/>
      <c r="H108"/>
      <c r="I108"/>
      <c r="J108"/>
      <c r="K108"/>
      <c r="L108"/>
      <c r="M108"/>
      <c r="N108"/>
      <c r="O108"/>
    </row>
    <row r="109" spans="2:15">
      <c r="B109"/>
      <c r="C109"/>
      <c r="D109"/>
      <c r="E109" s="35"/>
      <c r="F109"/>
      <c r="G109"/>
      <c r="H109"/>
      <c r="I109"/>
      <c r="J109"/>
      <c r="K109"/>
      <c r="L109"/>
      <c r="M109"/>
      <c r="N109"/>
      <c r="O109"/>
    </row>
    <row r="110" spans="2:15">
      <c r="B110"/>
      <c r="C110"/>
      <c r="D110"/>
      <c r="E110" s="35"/>
      <c r="F110"/>
      <c r="G110"/>
      <c r="H110"/>
      <c r="I110"/>
      <c r="J110"/>
      <c r="K110"/>
      <c r="L110"/>
      <c r="M110"/>
      <c r="N110"/>
      <c r="O110"/>
    </row>
    <row r="111" spans="2:15">
      <c r="B111"/>
      <c r="C111"/>
      <c r="D111"/>
      <c r="E111" s="35"/>
      <c r="F111"/>
      <c r="G111"/>
      <c r="H111"/>
      <c r="I111"/>
      <c r="J111"/>
      <c r="K111"/>
      <c r="L111"/>
      <c r="M111"/>
      <c r="N111"/>
      <c r="O111"/>
    </row>
    <row r="112" spans="2:15">
      <c r="B112"/>
      <c r="C112"/>
      <c r="D112"/>
      <c r="E112" s="35"/>
      <c r="F112"/>
      <c r="G112"/>
      <c r="H112"/>
      <c r="I112"/>
      <c r="J112"/>
      <c r="K112"/>
      <c r="L112"/>
      <c r="M112"/>
      <c r="N112"/>
      <c r="O112"/>
    </row>
    <row r="113" spans="2:15">
      <c r="B113"/>
      <c r="C113"/>
      <c r="D113"/>
      <c r="E113" s="35"/>
      <c r="F113"/>
      <c r="G113"/>
      <c r="H113"/>
      <c r="I113"/>
      <c r="J113"/>
      <c r="K113"/>
      <c r="L113"/>
      <c r="M113"/>
      <c r="N113"/>
      <c r="O113"/>
    </row>
    <row r="114" spans="2:15">
      <c r="B114"/>
      <c r="C114"/>
      <c r="D114"/>
      <c r="E114" s="35"/>
      <c r="F114"/>
      <c r="G114"/>
      <c r="H114"/>
      <c r="I114"/>
      <c r="J114"/>
      <c r="K114"/>
      <c r="L114"/>
      <c r="M114"/>
      <c r="N114"/>
      <c r="O114"/>
    </row>
    <row r="115" spans="2:15">
      <c r="B115"/>
      <c r="C115"/>
      <c r="D115"/>
      <c r="E115" s="35"/>
      <c r="F115"/>
      <c r="G115"/>
      <c r="H115"/>
      <c r="I115"/>
      <c r="J115"/>
      <c r="K115"/>
      <c r="L115"/>
      <c r="M115"/>
      <c r="N115"/>
      <c r="O115"/>
    </row>
    <row r="116" spans="2:15">
      <c r="B116"/>
      <c r="C116"/>
      <c r="D116"/>
      <c r="E116" s="35"/>
      <c r="F116"/>
      <c r="G116"/>
      <c r="H116"/>
      <c r="I116"/>
      <c r="J116"/>
      <c r="K116"/>
      <c r="L116"/>
      <c r="M116"/>
      <c r="N116"/>
      <c r="O116"/>
    </row>
    <row r="117" spans="2:15">
      <c r="B117"/>
      <c r="C117"/>
      <c r="D117"/>
      <c r="E117" s="35"/>
      <c r="F117"/>
      <c r="G117"/>
      <c r="H117"/>
      <c r="I117"/>
      <c r="J117"/>
      <c r="K117"/>
      <c r="L117"/>
      <c r="M117"/>
      <c r="N117"/>
      <c r="O117"/>
    </row>
    <row r="118" spans="2:15">
      <c r="B118"/>
      <c r="C118"/>
      <c r="D118"/>
      <c r="E118" s="35"/>
      <c r="F118"/>
      <c r="G118"/>
      <c r="H118"/>
      <c r="I118"/>
      <c r="J118"/>
      <c r="K118"/>
      <c r="L118"/>
      <c r="M118"/>
      <c r="N118"/>
      <c r="O118"/>
    </row>
    <row r="119" spans="2:15">
      <c r="B119"/>
      <c r="C119"/>
      <c r="D119"/>
      <c r="E119" s="35"/>
      <c r="F119"/>
      <c r="G119"/>
      <c r="H119"/>
      <c r="I119"/>
      <c r="J119"/>
      <c r="K119"/>
      <c r="L119"/>
      <c r="M119"/>
      <c r="N119"/>
      <c r="O119"/>
    </row>
    <row r="120" spans="2:15">
      <c r="B120"/>
      <c r="C120"/>
      <c r="D120"/>
      <c r="E120" s="35"/>
      <c r="F120"/>
      <c r="G120"/>
      <c r="H120"/>
      <c r="I120"/>
      <c r="J120"/>
      <c r="K120"/>
      <c r="L120"/>
      <c r="M120"/>
      <c r="N120"/>
      <c r="O120"/>
    </row>
    <row r="121" spans="2:15">
      <c r="B121"/>
      <c r="C121"/>
      <c r="D121"/>
      <c r="E121" s="35"/>
      <c r="F121"/>
      <c r="G121"/>
      <c r="H121"/>
      <c r="I121"/>
      <c r="J121"/>
      <c r="K121"/>
      <c r="L121"/>
      <c r="M121"/>
      <c r="N121"/>
      <c r="O121"/>
    </row>
    <row r="122" spans="2:15">
      <c r="B122"/>
      <c r="C122"/>
      <c r="D122"/>
      <c r="E122" s="35"/>
      <c r="F122"/>
      <c r="G122"/>
      <c r="H122"/>
      <c r="I122"/>
      <c r="J122"/>
      <c r="K122"/>
      <c r="L122"/>
      <c r="M122"/>
      <c r="N122"/>
      <c r="O122"/>
    </row>
    <row r="123" spans="2: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2: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2: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2: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2: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2: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2: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2: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2: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2: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2: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2: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2: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2: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2: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2: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2: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2: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2: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2: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2: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2: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2: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2: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2: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2: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2: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</sheetData>
  <mergeCells count="29">
    <mergeCell ref="M1:O1"/>
    <mergeCell ref="A1:B1"/>
    <mergeCell ref="D1:F1"/>
    <mergeCell ref="G1:I1"/>
    <mergeCell ref="J1:L1"/>
    <mergeCell ref="F61:G61"/>
    <mergeCell ref="F62:G62"/>
    <mergeCell ref="F63:G63"/>
    <mergeCell ref="F64:G64"/>
    <mergeCell ref="D61:E61"/>
    <mergeCell ref="D62:E62"/>
    <mergeCell ref="D63:E63"/>
    <mergeCell ref="D64:E64"/>
    <mergeCell ref="D65:E65"/>
    <mergeCell ref="D66:E66"/>
    <mergeCell ref="F65:G65"/>
    <mergeCell ref="F66:G66"/>
    <mergeCell ref="H65:I65"/>
    <mergeCell ref="H66:I66"/>
    <mergeCell ref="J65:K65"/>
    <mergeCell ref="J66:K66"/>
    <mergeCell ref="H61:I61"/>
    <mergeCell ref="H62:I62"/>
    <mergeCell ref="J61:K61"/>
    <mergeCell ref="J62:K62"/>
    <mergeCell ref="J63:K63"/>
    <mergeCell ref="J64:K64"/>
    <mergeCell ref="H63:I63"/>
    <mergeCell ref="H64:I64"/>
  </mergeCells>
  <phoneticPr fontId="2" type="noConversion"/>
  <printOptions horizontalCentered="1" gridLines="1"/>
  <pageMargins left="0.5" right="0.5" top="0.75" bottom="0.5" header="0.5" footer="0.5"/>
  <pageSetup scale="59" orientation="landscape" r:id="rId1"/>
  <headerFooter alignWithMargins="0">
    <oddHeader>&amp;C&amp;12Aras Corp - 2008 Cash Plan</oddHeader>
    <oddFooter>&amp;L&amp;"Arial,Bold"Aras Corp Confidential&amp;Ras of Feb  06, 2008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1">
    <pageSetUpPr fitToPage="1"/>
  </sheetPr>
  <dimension ref="A1:AI287"/>
  <sheetViews>
    <sheetView topLeftCell="A48" workbookViewId="0">
      <selection activeCell="H41" sqref="H7:H41"/>
    </sheetView>
  </sheetViews>
  <sheetFormatPr defaultRowHeight="12.75"/>
  <cols>
    <col min="1" max="1" width="24.42578125" customWidth="1"/>
    <col min="2" max="2" width="19.28515625" bestFit="1" customWidth="1"/>
    <col min="3" max="3" width="8.5703125" customWidth="1"/>
    <col min="4" max="4" width="10.28515625" style="16" customWidth="1"/>
    <col min="5" max="5" width="10.28515625" bestFit="1" customWidth="1"/>
    <col min="6" max="6" width="6.7109375" customWidth="1"/>
    <col min="7" max="7" width="7.28515625" style="16" customWidth="1"/>
    <col min="8" max="9" width="9.28515625" bestFit="1" customWidth="1"/>
    <col min="10" max="10" width="9.28515625" style="42" bestFit="1" customWidth="1"/>
    <col min="11" max="12" width="9.28515625" bestFit="1" customWidth="1"/>
    <col min="13" max="13" width="9.42578125" style="42" bestFit="1" customWidth="1"/>
    <col min="14" max="15" width="9.28515625" bestFit="1" customWidth="1"/>
    <col min="16" max="16" width="9.42578125" style="42" bestFit="1" customWidth="1"/>
    <col min="17" max="18" width="9" customWidth="1"/>
    <col min="19" max="19" width="9.140625" style="42"/>
    <col min="20" max="20" width="5.28515625" customWidth="1"/>
    <col min="21" max="21" width="9.42578125" bestFit="1" customWidth="1"/>
    <col min="22" max="22" width="5.42578125" customWidth="1"/>
    <col min="23" max="23" width="9.42578125" bestFit="1" customWidth="1"/>
    <col min="24" max="24" width="5.140625" customWidth="1"/>
    <col min="25" max="25" width="9.42578125" bestFit="1" customWidth="1"/>
    <col min="26" max="26" width="6" customWidth="1"/>
    <col min="27" max="27" width="9.28515625" bestFit="1" customWidth="1"/>
    <col min="28" max="28" width="31" customWidth="1"/>
  </cols>
  <sheetData>
    <row r="1" spans="1:28" ht="20.25">
      <c r="A1" s="83" t="s">
        <v>50</v>
      </c>
      <c r="E1" s="35"/>
      <c r="F1" s="35"/>
      <c r="G1" s="169"/>
      <c r="I1" s="35"/>
      <c r="J1" s="92"/>
      <c r="M1" s="92"/>
      <c r="P1" s="92"/>
      <c r="S1" s="94"/>
    </row>
    <row r="2" spans="1:28" ht="9" customHeight="1">
      <c r="B2" s="83"/>
      <c r="E2" s="35"/>
      <c r="F2" s="35"/>
      <c r="G2" s="169"/>
      <c r="I2" s="35"/>
      <c r="J2" s="92"/>
      <c r="M2" s="92"/>
      <c r="P2" s="92"/>
      <c r="S2" s="94"/>
    </row>
    <row r="3" spans="1:28" ht="7.5" customHeight="1">
      <c r="B3" s="83"/>
      <c r="E3" s="35"/>
      <c r="F3" s="35"/>
      <c r="G3" s="169"/>
      <c r="I3" s="35"/>
      <c r="J3" s="92"/>
      <c r="M3" s="92"/>
      <c r="P3" s="92"/>
      <c r="S3" s="94"/>
    </row>
    <row r="4" spans="1:28" ht="15">
      <c r="A4" s="6"/>
      <c r="B4" s="6" t="s">
        <v>22</v>
      </c>
      <c r="C4" s="6" t="s">
        <v>23</v>
      </c>
      <c r="D4" s="6"/>
      <c r="E4" s="51"/>
      <c r="F4" s="51"/>
      <c r="G4" s="494" t="s">
        <v>135</v>
      </c>
      <c r="H4" s="168"/>
      <c r="I4" s="82"/>
      <c r="J4" s="111"/>
      <c r="K4" s="168"/>
      <c r="L4" s="82"/>
      <c r="M4" s="111"/>
      <c r="N4" s="73"/>
      <c r="O4" s="82"/>
      <c r="P4" s="111"/>
      <c r="Q4" s="73"/>
      <c r="R4" s="73"/>
      <c r="S4" s="119"/>
      <c r="T4" s="654">
        <v>2010</v>
      </c>
      <c r="U4" s="655"/>
      <c r="V4" s="654">
        <v>2011</v>
      </c>
      <c r="W4" s="655"/>
      <c r="X4" s="654">
        <v>2012</v>
      </c>
      <c r="Y4" s="655"/>
      <c r="Z4" s="654">
        <v>1023</v>
      </c>
      <c r="AA4" s="655"/>
    </row>
    <row r="5" spans="1:28" s="32" customFormat="1" ht="15">
      <c r="A5" s="31" t="s">
        <v>24</v>
      </c>
      <c r="B5" s="31" t="s">
        <v>25</v>
      </c>
      <c r="C5" s="31" t="s">
        <v>25</v>
      </c>
      <c r="D5" s="31" t="s">
        <v>26</v>
      </c>
      <c r="E5" s="52" t="s">
        <v>27</v>
      </c>
      <c r="F5" s="257" t="s">
        <v>179</v>
      </c>
      <c r="G5" s="167" t="s">
        <v>255</v>
      </c>
      <c r="H5" s="136" t="str">
        <f>'CASH FLOW'!$D$2</f>
        <v>JAN</v>
      </c>
      <c r="I5" s="136" t="str">
        <f>'CASH FLOW'!$E$2</f>
        <v>FEB</v>
      </c>
      <c r="J5" s="137" t="str">
        <f>'CASH FLOW'!$F$2</f>
        <v>MAR</v>
      </c>
      <c r="K5" s="136" t="str">
        <f>'CASH FLOW'!$G$2</f>
        <v>APR</v>
      </c>
      <c r="L5" s="136" t="str">
        <f>'CASH FLOW'!$H$2</f>
        <v>MAY</v>
      </c>
      <c r="M5" s="137" t="str">
        <f>'CASH FLOW'!$I$2</f>
        <v>JUN</v>
      </c>
      <c r="N5" s="136" t="str">
        <f>'CASH FLOW'!$J$2</f>
        <v>JUL</v>
      </c>
      <c r="O5" s="136" t="str">
        <f>'CASH FLOW'!$K$2</f>
        <v>AUG</v>
      </c>
      <c r="P5" s="137" t="str">
        <f>'CASH FLOW'!$L$2</f>
        <v>SEP</v>
      </c>
      <c r="Q5" s="136" t="str">
        <f>'CASH FLOW'!$M$2</f>
        <v>OCT</v>
      </c>
      <c r="R5" s="136" t="str">
        <f>'CASH FLOW'!$N$2</f>
        <v>NOV</v>
      </c>
      <c r="S5" s="138" t="str">
        <f>'CASH FLOW'!$O$2</f>
        <v>DEC</v>
      </c>
      <c r="T5" s="258" t="s">
        <v>171</v>
      </c>
      <c r="U5" s="257" t="s">
        <v>172</v>
      </c>
      <c r="V5" s="258" t="s">
        <v>171</v>
      </c>
      <c r="W5" s="257" t="s">
        <v>172</v>
      </c>
      <c r="X5" s="258" t="s">
        <v>171</v>
      </c>
      <c r="Y5" s="257" t="s">
        <v>172</v>
      </c>
      <c r="Z5" s="258" t="s">
        <v>171</v>
      </c>
      <c r="AA5" s="257" t="s">
        <v>172</v>
      </c>
      <c r="AB5"/>
    </row>
    <row r="6" spans="1:28" s="333" customFormat="1" ht="15.75">
      <c r="A6" s="310" t="s">
        <v>338</v>
      </c>
      <c r="C6" s="234"/>
      <c r="D6" s="234"/>
      <c r="E6" s="51"/>
      <c r="F6" s="51"/>
      <c r="G6" s="329"/>
      <c r="H6" s="330"/>
      <c r="I6" s="330"/>
      <c r="J6" s="331"/>
      <c r="K6" s="330"/>
      <c r="L6" s="330"/>
      <c r="M6" s="331"/>
      <c r="N6" s="330"/>
      <c r="O6" s="330"/>
      <c r="P6" s="331"/>
      <c r="Q6" s="330"/>
      <c r="R6" s="330"/>
      <c r="S6" s="332"/>
      <c r="T6" s="327"/>
      <c r="U6" s="328"/>
      <c r="V6" s="327"/>
      <c r="W6" s="328"/>
      <c r="X6" s="327"/>
      <c r="Y6" s="328"/>
      <c r="Z6" s="327"/>
      <c r="AA6" s="328"/>
      <c r="AB6"/>
    </row>
    <row r="7" spans="1:28" s="5" customFormat="1">
      <c r="A7" s="365" t="s">
        <v>28</v>
      </c>
      <c r="B7" s="7" t="s">
        <v>29</v>
      </c>
      <c r="C7" s="8" t="s">
        <v>30</v>
      </c>
      <c r="D7" s="25" t="s">
        <v>83</v>
      </c>
      <c r="E7" s="53">
        <v>175000</v>
      </c>
      <c r="F7" s="54">
        <v>0</v>
      </c>
      <c r="G7" s="171" t="s">
        <v>67</v>
      </c>
      <c r="H7" s="9">
        <f t="shared" ref="H7:H20" si="0">IF($G7=H$5,($E7/12)+$F7,0)</f>
        <v>14583.333333333334</v>
      </c>
      <c r="I7" s="40">
        <f t="shared" ref="I7:S7" si="1">IF($G7=I$5,  ($E7/12)+$F7,  IF(H7&gt;0,($E7/12)+$F7,0))</f>
        <v>14583.333333333334</v>
      </c>
      <c r="J7" s="113">
        <f t="shared" si="1"/>
        <v>14583.333333333334</v>
      </c>
      <c r="K7" s="9">
        <f t="shared" si="1"/>
        <v>14583.333333333334</v>
      </c>
      <c r="L7" s="9">
        <f t="shared" si="1"/>
        <v>14583.333333333334</v>
      </c>
      <c r="M7" s="113">
        <f t="shared" si="1"/>
        <v>14583.333333333334</v>
      </c>
      <c r="N7" s="9">
        <f t="shared" si="1"/>
        <v>14583.333333333334</v>
      </c>
      <c r="O7" s="9">
        <f t="shared" si="1"/>
        <v>14583.333333333334</v>
      </c>
      <c r="P7" s="113">
        <f t="shared" si="1"/>
        <v>14583.333333333334</v>
      </c>
      <c r="Q7" s="9">
        <f t="shared" si="1"/>
        <v>14583.333333333334</v>
      </c>
      <c r="R7" s="9">
        <f t="shared" si="1"/>
        <v>14583.333333333334</v>
      </c>
      <c r="S7" s="121">
        <f t="shared" si="1"/>
        <v>14583.333333333334</v>
      </c>
      <c r="T7" s="259">
        <v>1</v>
      </c>
      <c r="U7" s="194">
        <f>E7*1.1</f>
        <v>192500.00000000003</v>
      </c>
      <c r="V7" s="259">
        <v>1</v>
      </c>
      <c r="W7" s="194">
        <f t="shared" ref="W7:W20" si="2">U7*1.1</f>
        <v>211750.00000000006</v>
      </c>
      <c r="X7" s="259">
        <v>1</v>
      </c>
      <c r="Y7" s="194">
        <f t="shared" ref="Y7:Y20" si="3">W7*1.1</f>
        <v>232925.00000000009</v>
      </c>
      <c r="Z7" s="259">
        <v>1</v>
      </c>
      <c r="AA7" s="194">
        <f t="shared" ref="AA7:AA20" si="4">Y7*1.1</f>
        <v>256217.50000000012</v>
      </c>
      <c r="AB7"/>
    </row>
    <row r="8" spans="1:28" s="10" customFormat="1">
      <c r="A8" s="365" t="s">
        <v>225</v>
      </c>
      <c r="B8" s="8" t="s">
        <v>29</v>
      </c>
      <c r="C8" s="8" t="s">
        <v>53</v>
      </c>
      <c r="D8" s="25" t="s">
        <v>83</v>
      </c>
      <c r="E8" s="53">
        <v>45000</v>
      </c>
      <c r="F8" s="54">
        <v>0</v>
      </c>
      <c r="G8" s="171" t="s">
        <v>67</v>
      </c>
      <c r="H8" s="9">
        <f t="shared" si="0"/>
        <v>3750</v>
      </c>
      <c r="I8" s="40">
        <f t="shared" ref="I8:S8" si="5">IF($G8=I$5,  ($E8/12)+$F8,  IF(H8&gt;0,($E8/12)+$F8,0))</f>
        <v>3750</v>
      </c>
      <c r="J8" s="113">
        <f t="shared" si="5"/>
        <v>3750</v>
      </c>
      <c r="K8" s="9">
        <f t="shared" si="5"/>
        <v>3750</v>
      </c>
      <c r="L8" s="9">
        <f t="shared" si="5"/>
        <v>3750</v>
      </c>
      <c r="M8" s="113">
        <f t="shared" si="5"/>
        <v>3750</v>
      </c>
      <c r="N8" s="9">
        <f t="shared" si="5"/>
        <v>3750</v>
      </c>
      <c r="O8" s="9">
        <f t="shared" si="5"/>
        <v>3750</v>
      </c>
      <c r="P8" s="113">
        <f t="shared" si="5"/>
        <v>3750</v>
      </c>
      <c r="Q8" s="9">
        <f t="shared" si="5"/>
        <v>3750</v>
      </c>
      <c r="R8" s="9">
        <f t="shared" si="5"/>
        <v>3750</v>
      </c>
      <c r="S8" s="121">
        <f t="shared" si="5"/>
        <v>3750</v>
      </c>
      <c r="T8" s="259">
        <v>1</v>
      </c>
      <c r="U8" s="194">
        <f t="shared" ref="U8:U20" si="6">E8*1.1</f>
        <v>49500.000000000007</v>
      </c>
      <c r="V8" s="259">
        <v>2</v>
      </c>
      <c r="W8" s="194">
        <f t="shared" si="2"/>
        <v>54450.000000000015</v>
      </c>
      <c r="X8" s="259">
        <v>2</v>
      </c>
      <c r="Y8" s="194">
        <f t="shared" si="3"/>
        <v>59895.000000000022</v>
      </c>
      <c r="Z8" s="259">
        <v>4</v>
      </c>
      <c r="AA8" s="194">
        <f t="shared" si="4"/>
        <v>65884.500000000029</v>
      </c>
      <c r="AB8"/>
    </row>
    <row r="9" spans="1:28">
      <c r="A9" s="365" t="s">
        <v>226</v>
      </c>
      <c r="B9" s="8" t="s">
        <v>102</v>
      </c>
      <c r="C9" s="8" t="s">
        <v>101</v>
      </c>
      <c r="D9" s="25" t="s">
        <v>113</v>
      </c>
      <c r="E9" s="53">
        <v>95000</v>
      </c>
      <c r="F9" s="54">
        <v>0</v>
      </c>
      <c r="G9" s="171" t="s">
        <v>67</v>
      </c>
      <c r="H9" s="9">
        <f t="shared" si="0"/>
        <v>7916.666666666667</v>
      </c>
      <c r="I9" s="40">
        <f t="shared" ref="I9:S9" si="7">IF($G9=I$5,  ($E9/12)+$F9,  IF(H9&gt;0,($E9/12)+$F9,0))</f>
        <v>7916.666666666667</v>
      </c>
      <c r="J9" s="113">
        <f t="shared" si="7"/>
        <v>7916.666666666667</v>
      </c>
      <c r="K9" s="9">
        <f t="shared" si="7"/>
        <v>7916.666666666667</v>
      </c>
      <c r="L9" s="9">
        <f t="shared" si="7"/>
        <v>7916.666666666667</v>
      </c>
      <c r="M9" s="113">
        <f t="shared" si="7"/>
        <v>7916.666666666667</v>
      </c>
      <c r="N9" s="9">
        <f t="shared" si="7"/>
        <v>7916.666666666667</v>
      </c>
      <c r="O9" s="9">
        <f t="shared" si="7"/>
        <v>7916.666666666667</v>
      </c>
      <c r="P9" s="113">
        <f t="shared" si="7"/>
        <v>7916.666666666667</v>
      </c>
      <c r="Q9" s="9">
        <f t="shared" si="7"/>
        <v>7916.666666666667</v>
      </c>
      <c r="R9" s="9">
        <f t="shared" si="7"/>
        <v>7916.666666666667</v>
      </c>
      <c r="S9" s="121">
        <f t="shared" si="7"/>
        <v>7916.666666666667</v>
      </c>
      <c r="T9" s="259">
        <v>2</v>
      </c>
      <c r="U9" s="194">
        <f t="shared" si="6"/>
        <v>104500.00000000001</v>
      </c>
      <c r="V9" s="259">
        <v>3</v>
      </c>
      <c r="W9" s="194">
        <f t="shared" si="2"/>
        <v>114950.00000000003</v>
      </c>
      <c r="X9" s="259">
        <v>4</v>
      </c>
      <c r="Y9" s="194">
        <f t="shared" si="3"/>
        <v>126445.00000000004</v>
      </c>
      <c r="Z9" s="259">
        <v>5</v>
      </c>
      <c r="AA9" s="194">
        <f t="shared" si="4"/>
        <v>139089.50000000006</v>
      </c>
    </row>
    <row r="10" spans="1:28" s="5" customFormat="1">
      <c r="A10" s="365" t="s">
        <v>111</v>
      </c>
      <c r="B10" s="7" t="s">
        <v>31</v>
      </c>
      <c r="C10" s="8" t="s">
        <v>32</v>
      </c>
      <c r="D10" s="25" t="s">
        <v>83</v>
      </c>
      <c r="E10" s="53">
        <v>163000</v>
      </c>
      <c r="F10" s="54">
        <v>0</v>
      </c>
      <c r="G10" s="171" t="s">
        <v>67</v>
      </c>
      <c r="H10" s="9">
        <f t="shared" si="0"/>
        <v>13583.333333333334</v>
      </c>
      <c r="I10" s="40">
        <f t="shared" ref="I10:S10" si="8">IF($G10=I$5,  ($E10/12)+$F10,  IF(H10&gt;0,($E10/12)+$F10,0))</f>
        <v>13583.333333333334</v>
      </c>
      <c r="J10" s="113">
        <f t="shared" si="8"/>
        <v>13583.333333333334</v>
      </c>
      <c r="K10" s="9">
        <f t="shared" si="8"/>
        <v>13583.333333333334</v>
      </c>
      <c r="L10" s="9">
        <f t="shared" si="8"/>
        <v>13583.333333333334</v>
      </c>
      <c r="M10" s="113">
        <f t="shared" si="8"/>
        <v>13583.333333333334</v>
      </c>
      <c r="N10" s="9">
        <f t="shared" si="8"/>
        <v>13583.333333333334</v>
      </c>
      <c r="O10" s="9">
        <f t="shared" si="8"/>
        <v>13583.333333333334</v>
      </c>
      <c r="P10" s="113">
        <f t="shared" si="8"/>
        <v>13583.333333333334</v>
      </c>
      <c r="Q10" s="9">
        <f t="shared" si="8"/>
        <v>13583.333333333334</v>
      </c>
      <c r="R10" s="9">
        <f t="shared" si="8"/>
        <v>13583.333333333334</v>
      </c>
      <c r="S10" s="121">
        <f t="shared" si="8"/>
        <v>13583.333333333334</v>
      </c>
      <c r="T10" s="259">
        <v>1</v>
      </c>
      <c r="U10" s="194">
        <f t="shared" si="6"/>
        <v>179300</v>
      </c>
      <c r="V10" s="259">
        <v>1</v>
      </c>
      <c r="W10" s="194">
        <f t="shared" si="2"/>
        <v>197230.00000000003</v>
      </c>
      <c r="X10" s="259">
        <v>1</v>
      </c>
      <c r="Y10" s="194">
        <f t="shared" si="3"/>
        <v>216953.00000000006</v>
      </c>
      <c r="Z10" s="259">
        <v>1</v>
      </c>
      <c r="AA10" s="194">
        <f t="shared" si="4"/>
        <v>238648.30000000008</v>
      </c>
      <c r="AB10"/>
    </row>
    <row r="11" spans="1:28">
      <c r="A11" s="365" t="s">
        <v>110</v>
      </c>
      <c r="B11" s="8" t="s">
        <v>33</v>
      </c>
      <c r="C11" s="8" t="s">
        <v>34</v>
      </c>
      <c r="D11" s="25" t="s">
        <v>83</v>
      </c>
      <c r="E11" s="53">
        <v>150000</v>
      </c>
      <c r="F11" s="54">
        <v>0</v>
      </c>
      <c r="G11" s="171" t="s">
        <v>67</v>
      </c>
      <c r="H11" s="12">
        <f t="shared" si="0"/>
        <v>12500</v>
      </c>
      <c r="I11" s="80">
        <f t="shared" ref="I11:S11" si="9">IF($G11=I$5,  ($E11/12)+$F11,  IF(H11&gt;0,($E11/12)+$F11,0))</f>
        <v>12500</v>
      </c>
      <c r="J11" s="112">
        <f t="shared" si="9"/>
        <v>12500</v>
      </c>
      <c r="K11" s="12">
        <f t="shared" si="9"/>
        <v>12500</v>
      </c>
      <c r="L11" s="12">
        <f t="shared" si="9"/>
        <v>12500</v>
      </c>
      <c r="M11" s="112">
        <f t="shared" si="9"/>
        <v>12500</v>
      </c>
      <c r="N11" s="12">
        <f t="shared" si="9"/>
        <v>12500</v>
      </c>
      <c r="O11" s="12">
        <f t="shared" si="9"/>
        <v>12500</v>
      </c>
      <c r="P11" s="112">
        <f t="shared" si="9"/>
        <v>12500</v>
      </c>
      <c r="Q11" s="12">
        <f t="shared" si="9"/>
        <v>12500</v>
      </c>
      <c r="R11" s="12">
        <f t="shared" si="9"/>
        <v>12500</v>
      </c>
      <c r="S11" s="120">
        <f t="shared" si="9"/>
        <v>12500</v>
      </c>
      <c r="T11" s="259">
        <v>1</v>
      </c>
      <c r="U11" s="194">
        <f t="shared" si="6"/>
        <v>165000</v>
      </c>
      <c r="V11" s="259">
        <v>1</v>
      </c>
      <c r="W11" s="194">
        <f t="shared" si="2"/>
        <v>181500.00000000003</v>
      </c>
      <c r="X11" s="259">
        <v>1</v>
      </c>
      <c r="Y11" s="194">
        <f t="shared" si="3"/>
        <v>199650.00000000006</v>
      </c>
      <c r="Z11" s="259">
        <v>1</v>
      </c>
      <c r="AA11" s="194">
        <f t="shared" si="4"/>
        <v>219615.00000000009</v>
      </c>
    </row>
    <row r="12" spans="1:28" s="10" customFormat="1">
      <c r="A12" s="365" t="s">
        <v>227</v>
      </c>
      <c r="B12" s="7" t="s">
        <v>40</v>
      </c>
      <c r="C12" s="7" t="s">
        <v>41</v>
      </c>
      <c r="D12" s="25" t="s">
        <v>83</v>
      </c>
      <c r="E12" s="55">
        <v>110000</v>
      </c>
      <c r="F12" s="54">
        <v>0</v>
      </c>
      <c r="G12" s="171" t="s">
        <v>67</v>
      </c>
      <c r="H12" s="9">
        <f t="shared" si="0"/>
        <v>9166.6666666666661</v>
      </c>
      <c r="I12" s="40">
        <f t="shared" ref="I12:S12" si="10">IF($G12=I$5,  ($E12/12)+$F12,  IF(H12&gt;0,($E12/12)+$F12,0))</f>
        <v>9166.6666666666661</v>
      </c>
      <c r="J12" s="113">
        <f t="shared" si="10"/>
        <v>9166.6666666666661</v>
      </c>
      <c r="K12" s="9">
        <f t="shared" si="10"/>
        <v>9166.6666666666661</v>
      </c>
      <c r="L12" s="9">
        <f t="shared" si="10"/>
        <v>9166.6666666666661</v>
      </c>
      <c r="M12" s="113">
        <f t="shared" si="10"/>
        <v>9166.6666666666661</v>
      </c>
      <c r="N12" s="9">
        <f t="shared" si="10"/>
        <v>9166.6666666666661</v>
      </c>
      <c r="O12" s="9">
        <f t="shared" si="10"/>
        <v>9166.6666666666661</v>
      </c>
      <c r="P12" s="113">
        <f t="shared" si="10"/>
        <v>9166.6666666666661</v>
      </c>
      <c r="Q12" s="9">
        <f t="shared" si="10"/>
        <v>9166.6666666666661</v>
      </c>
      <c r="R12" s="9">
        <f t="shared" si="10"/>
        <v>9166.6666666666661</v>
      </c>
      <c r="S12" s="121">
        <f t="shared" si="10"/>
        <v>9166.6666666666661</v>
      </c>
      <c r="T12" s="259">
        <v>1</v>
      </c>
      <c r="U12" s="194">
        <f t="shared" si="6"/>
        <v>121000.00000000001</v>
      </c>
      <c r="V12" s="259">
        <v>1</v>
      </c>
      <c r="W12" s="194">
        <f t="shared" si="2"/>
        <v>133100.00000000003</v>
      </c>
      <c r="X12" s="259">
        <v>1</v>
      </c>
      <c r="Y12" s="194">
        <f t="shared" si="3"/>
        <v>146410.00000000006</v>
      </c>
      <c r="Z12" s="259">
        <v>1</v>
      </c>
      <c r="AA12" s="194">
        <f t="shared" si="4"/>
        <v>161051.00000000009</v>
      </c>
      <c r="AB12"/>
    </row>
    <row r="13" spans="1:28">
      <c r="A13" s="366" t="s">
        <v>227</v>
      </c>
      <c r="B13" s="8" t="s">
        <v>98</v>
      </c>
      <c r="C13" s="8" t="s">
        <v>99</v>
      </c>
      <c r="D13" s="25" t="s">
        <v>83</v>
      </c>
      <c r="E13" s="53">
        <v>110000</v>
      </c>
      <c r="F13" s="54">
        <v>0</v>
      </c>
      <c r="G13" s="171" t="s">
        <v>67</v>
      </c>
      <c r="H13" s="9">
        <f t="shared" si="0"/>
        <v>9166.6666666666661</v>
      </c>
      <c r="I13" s="40">
        <f t="shared" ref="I13:S13" si="11">IF($G13=I$5,  ($E13/12)+$F13,  IF(H13&gt;0,($E13/12)+$F13,0))</f>
        <v>9166.6666666666661</v>
      </c>
      <c r="J13" s="113">
        <f t="shared" si="11"/>
        <v>9166.6666666666661</v>
      </c>
      <c r="K13" s="9">
        <f t="shared" si="11"/>
        <v>9166.6666666666661</v>
      </c>
      <c r="L13" s="9">
        <f t="shared" si="11"/>
        <v>9166.6666666666661</v>
      </c>
      <c r="M13" s="113">
        <f t="shared" si="11"/>
        <v>9166.6666666666661</v>
      </c>
      <c r="N13" s="9">
        <f t="shared" si="11"/>
        <v>9166.6666666666661</v>
      </c>
      <c r="O13" s="9">
        <f t="shared" si="11"/>
        <v>9166.6666666666661</v>
      </c>
      <c r="P13" s="113">
        <f t="shared" si="11"/>
        <v>9166.6666666666661</v>
      </c>
      <c r="Q13" s="9">
        <f t="shared" si="11"/>
        <v>9166.6666666666661</v>
      </c>
      <c r="R13" s="9">
        <f t="shared" si="11"/>
        <v>9166.6666666666661</v>
      </c>
      <c r="S13" s="121">
        <f t="shared" si="11"/>
        <v>9166.6666666666661</v>
      </c>
      <c r="T13" s="259">
        <v>1</v>
      </c>
      <c r="U13" s="194">
        <f t="shared" si="6"/>
        <v>121000.00000000001</v>
      </c>
      <c r="V13" s="259">
        <v>1</v>
      </c>
      <c r="W13" s="194">
        <f t="shared" si="2"/>
        <v>133100.00000000003</v>
      </c>
      <c r="X13" s="259">
        <v>1</v>
      </c>
      <c r="Y13" s="194">
        <f t="shared" si="3"/>
        <v>146410.00000000006</v>
      </c>
      <c r="Z13" s="259">
        <v>1</v>
      </c>
      <c r="AA13" s="194">
        <f t="shared" si="4"/>
        <v>161051.00000000009</v>
      </c>
    </row>
    <row r="14" spans="1:28">
      <c r="A14" s="366" t="s">
        <v>227</v>
      </c>
      <c r="B14" s="8" t="s">
        <v>36</v>
      </c>
      <c r="C14" s="8" t="s">
        <v>37</v>
      </c>
      <c r="D14" s="25" t="s">
        <v>83</v>
      </c>
      <c r="E14" s="53">
        <v>110000</v>
      </c>
      <c r="F14" s="54">
        <v>0</v>
      </c>
      <c r="G14" s="171" t="s">
        <v>67</v>
      </c>
      <c r="H14" s="9">
        <f t="shared" si="0"/>
        <v>9166.6666666666661</v>
      </c>
      <c r="I14" s="40">
        <f t="shared" ref="I14:S15" si="12">IF($G14=I$5,  ($E14/12)+$F14,  IF(H14&gt;0,($E14/12)+$F14,0))</f>
        <v>9166.6666666666661</v>
      </c>
      <c r="J14" s="113">
        <f t="shared" si="12"/>
        <v>9166.6666666666661</v>
      </c>
      <c r="K14" s="9">
        <f t="shared" si="12"/>
        <v>9166.6666666666661</v>
      </c>
      <c r="L14" s="9">
        <f t="shared" si="12"/>
        <v>9166.6666666666661</v>
      </c>
      <c r="M14" s="113">
        <f t="shared" si="12"/>
        <v>9166.6666666666661</v>
      </c>
      <c r="N14" s="9">
        <f t="shared" si="12"/>
        <v>9166.6666666666661</v>
      </c>
      <c r="O14" s="9">
        <f t="shared" si="12"/>
        <v>9166.6666666666661</v>
      </c>
      <c r="P14" s="113">
        <f t="shared" si="12"/>
        <v>9166.6666666666661</v>
      </c>
      <c r="Q14" s="9">
        <f t="shared" si="12"/>
        <v>9166.6666666666661</v>
      </c>
      <c r="R14" s="9">
        <f t="shared" si="12"/>
        <v>9166.6666666666661</v>
      </c>
      <c r="S14" s="121">
        <f t="shared" si="12"/>
        <v>9166.6666666666661</v>
      </c>
      <c r="T14" s="259">
        <v>1</v>
      </c>
      <c r="U14" s="194">
        <f>E14*1.1</f>
        <v>121000.00000000001</v>
      </c>
      <c r="V14" s="259">
        <v>1</v>
      </c>
      <c r="W14" s="194">
        <f>U14*1.1</f>
        <v>133100.00000000003</v>
      </c>
      <c r="X14" s="259">
        <v>1</v>
      </c>
      <c r="Y14" s="194">
        <f t="shared" si="3"/>
        <v>146410.00000000006</v>
      </c>
      <c r="Z14" s="259">
        <v>1</v>
      </c>
      <c r="AA14" s="194">
        <f t="shared" si="4"/>
        <v>161051.00000000009</v>
      </c>
    </row>
    <row r="15" spans="1:28">
      <c r="A15" s="366" t="s">
        <v>227</v>
      </c>
      <c r="B15" s="8" t="s">
        <v>269</v>
      </c>
      <c r="C15" s="8" t="s">
        <v>270</v>
      </c>
      <c r="D15" s="25" t="s">
        <v>83</v>
      </c>
      <c r="E15" s="53">
        <v>105000</v>
      </c>
      <c r="F15" s="54">
        <v>0</v>
      </c>
      <c r="G15" s="171" t="s">
        <v>67</v>
      </c>
      <c r="H15" s="9">
        <f t="shared" si="0"/>
        <v>8750</v>
      </c>
      <c r="I15" s="40">
        <f t="shared" si="12"/>
        <v>8750</v>
      </c>
      <c r="J15" s="113">
        <f t="shared" si="12"/>
        <v>8750</v>
      </c>
      <c r="K15" s="9">
        <f t="shared" si="12"/>
        <v>8750</v>
      </c>
      <c r="L15" s="9">
        <f t="shared" si="12"/>
        <v>8750</v>
      </c>
      <c r="M15" s="113">
        <f t="shared" si="12"/>
        <v>8750</v>
      </c>
      <c r="N15" s="9">
        <f t="shared" si="12"/>
        <v>8750</v>
      </c>
      <c r="O15" s="9">
        <f t="shared" si="12"/>
        <v>8750</v>
      </c>
      <c r="P15" s="113">
        <f t="shared" si="12"/>
        <v>8750</v>
      </c>
      <c r="Q15" s="9">
        <f t="shared" si="12"/>
        <v>8750</v>
      </c>
      <c r="R15" s="9">
        <f t="shared" si="12"/>
        <v>8750</v>
      </c>
      <c r="S15" s="121">
        <f t="shared" si="12"/>
        <v>8750</v>
      </c>
      <c r="T15" s="259">
        <v>1</v>
      </c>
      <c r="U15" s="194">
        <f t="shared" si="6"/>
        <v>115500.00000000001</v>
      </c>
      <c r="V15" s="259">
        <v>1</v>
      </c>
      <c r="W15" s="194">
        <f t="shared" si="2"/>
        <v>127050.00000000003</v>
      </c>
      <c r="X15" s="259">
        <v>1</v>
      </c>
      <c r="Y15" s="194">
        <f t="shared" si="3"/>
        <v>139755.00000000003</v>
      </c>
      <c r="Z15" s="259">
        <v>1</v>
      </c>
      <c r="AA15" s="194">
        <f t="shared" si="4"/>
        <v>153730.50000000006</v>
      </c>
    </row>
    <row r="16" spans="1:28">
      <c r="A16" s="366" t="s">
        <v>112</v>
      </c>
      <c r="B16" s="8" t="s">
        <v>42</v>
      </c>
      <c r="C16" s="11" t="s">
        <v>43</v>
      </c>
      <c r="D16" s="26" t="s">
        <v>83</v>
      </c>
      <c r="E16" s="54">
        <v>160000</v>
      </c>
      <c r="F16" s="54">
        <v>0</v>
      </c>
      <c r="G16" s="171" t="s">
        <v>67</v>
      </c>
      <c r="H16" s="12">
        <f t="shared" si="0"/>
        <v>13333.333333333334</v>
      </c>
      <c r="I16" s="80">
        <f t="shared" ref="I16:S16" si="13">IF($G16=I$5,  ($E16/12)+$F16,  IF(H16&gt;0,($E16/12)+$F16,0))</f>
        <v>13333.333333333334</v>
      </c>
      <c r="J16" s="112">
        <f t="shared" si="13"/>
        <v>13333.333333333334</v>
      </c>
      <c r="K16" s="12">
        <f t="shared" si="13"/>
        <v>13333.333333333334</v>
      </c>
      <c r="L16" s="12">
        <f t="shared" si="13"/>
        <v>13333.333333333334</v>
      </c>
      <c r="M16" s="112">
        <f t="shared" si="13"/>
        <v>13333.333333333334</v>
      </c>
      <c r="N16" s="12">
        <f t="shared" si="13"/>
        <v>13333.333333333334</v>
      </c>
      <c r="O16" s="12">
        <f t="shared" si="13"/>
        <v>13333.333333333334</v>
      </c>
      <c r="P16" s="112">
        <f t="shared" si="13"/>
        <v>13333.333333333334</v>
      </c>
      <c r="Q16" s="12">
        <f t="shared" si="13"/>
        <v>13333.333333333334</v>
      </c>
      <c r="R16" s="12">
        <f t="shared" si="13"/>
        <v>13333.333333333334</v>
      </c>
      <c r="S16" s="120">
        <f t="shared" si="13"/>
        <v>13333.333333333334</v>
      </c>
      <c r="T16" s="259">
        <v>1</v>
      </c>
      <c r="U16" s="194">
        <f t="shared" si="6"/>
        <v>176000</v>
      </c>
      <c r="V16" s="259">
        <v>1</v>
      </c>
      <c r="W16" s="194">
        <f t="shared" si="2"/>
        <v>193600.00000000003</v>
      </c>
      <c r="X16" s="259">
        <v>1</v>
      </c>
      <c r="Y16" s="194">
        <f t="shared" si="3"/>
        <v>212960.00000000006</v>
      </c>
      <c r="Z16" s="259">
        <v>1</v>
      </c>
      <c r="AA16" s="194">
        <f t="shared" si="4"/>
        <v>234256.00000000009</v>
      </c>
    </row>
    <row r="17" spans="1:35" s="14" customFormat="1">
      <c r="A17" s="366" t="s">
        <v>228</v>
      </c>
      <c r="B17" s="11" t="s">
        <v>45</v>
      </c>
      <c r="C17" s="11" t="s">
        <v>44</v>
      </c>
      <c r="D17" s="26" t="s">
        <v>83</v>
      </c>
      <c r="E17" s="56">
        <v>130000</v>
      </c>
      <c r="F17" s="54">
        <v>0</v>
      </c>
      <c r="G17" s="171" t="s">
        <v>67</v>
      </c>
      <c r="H17" s="12">
        <f t="shared" si="0"/>
        <v>10833.333333333334</v>
      </c>
      <c r="I17" s="80">
        <f t="shared" ref="I17:S17" si="14">IF($G17=I$5,  ($E17/12)+$F17,  IF(H17&gt;0,($E17/12)+$F17,0))</f>
        <v>10833.333333333334</v>
      </c>
      <c r="J17" s="112">
        <f t="shared" si="14"/>
        <v>10833.333333333334</v>
      </c>
      <c r="K17" s="12">
        <f t="shared" si="14"/>
        <v>10833.333333333334</v>
      </c>
      <c r="L17" s="12">
        <f t="shared" si="14"/>
        <v>10833.333333333334</v>
      </c>
      <c r="M17" s="112">
        <f t="shared" si="14"/>
        <v>10833.333333333334</v>
      </c>
      <c r="N17" s="12">
        <f t="shared" si="14"/>
        <v>10833.333333333334</v>
      </c>
      <c r="O17" s="12">
        <f t="shared" si="14"/>
        <v>10833.333333333334</v>
      </c>
      <c r="P17" s="112">
        <f t="shared" si="14"/>
        <v>10833.333333333334</v>
      </c>
      <c r="Q17" s="12">
        <f t="shared" si="14"/>
        <v>10833.333333333334</v>
      </c>
      <c r="R17" s="12">
        <f t="shared" si="14"/>
        <v>10833.333333333334</v>
      </c>
      <c r="S17" s="120">
        <f t="shared" si="14"/>
        <v>10833.333333333334</v>
      </c>
      <c r="T17" s="259">
        <v>1</v>
      </c>
      <c r="U17" s="194">
        <f t="shared" si="6"/>
        <v>143000</v>
      </c>
      <c r="V17" s="259">
        <v>2</v>
      </c>
      <c r="W17" s="194">
        <f t="shared" si="2"/>
        <v>157300</v>
      </c>
      <c r="X17" s="259">
        <v>2</v>
      </c>
      <c r="Y17" s="194">
        <f t="shared" si="3"/>
        <v>173030</v>
      </c>
      <c r="Z17" s="259">
        <v>3</v>
      </c>
      <c r="AA17" s="194">
        <f t="shared" si="4"/>
        <v>190333.00000000003</v>
      </c>
      <c r="AB17"/>
    </row>
    <row r="18" spans="1:35" s="5" customFormat="1">
      <c r="A18" s="367" t="s">
        <v>229</v>
      </c>
      <c r="B18" s="333" t="s">
        <v>38</v>
      </c>
      <c r="C18" s="48" t="s">
        <v>39</v>
      </c>
      <c r="D18" s="50" t="s">
        <v>83</v>
      </c>
      <c r="E18" s="53">
        <v>85000</v>
      </c>
      <c r="F18" s="54">
        <v>0</v>
      </c>
      <c r="G18" s="171" t="s">
        <v>67</v>
      </c>
      <c r="H18" s="40">
        <f t="shared" si="0"/>
        <v>7083.333333333333</v>
      </c>
      <c r="I18" s="40">
        <f t="shared" ref="I18:S18" si="15">IF($G18=I$5,  ($E18/12)+$F18,  IF(H18&gt;0,($E18/12)+$F18,0))</f>
        <v>7083.333333333333</v>
      </c>
      <c r="J18" s="113">
        <f t="shared" si="15"/>
        <v>7083.333333333333</v>
      </c>
      <c r="K18" s="40">
        <f t="shared" si="15"/>
        <v>7083.333333333333</v>
      </c>
      <c r="L18" s="40">
        <f t="shared" si="15"/>
        <v>7083.333333333333</v>
      </c>
      <c r="M18" s="113">
        <f t="shared" si="15"/>
        <v>7083.333333333333</v>
      </c>
      <c r="N18" s="40">
        <f t="shared" si="15"/>
        <v>7083.333333333333</v>
      </c>
      <c r="O18" s="40">
        <f t="shared" si="15"/>
        <v>7083.333333333333</v>
      </c>
      <c r="P18" s="113">
        <f t="shared" si="15"/>
        <v>7083.333333333333</v>
      </c>
      <c r="Q18" s="40">
        <f t="shared" si="15"/>
        <v>7083.333333333333</v>
      </c>
      <c r="R18" s="40">
        <f t="shared" si="15"/>
        <v>7083.333333333333</v>
      </c>
      <c r="S18" s="121">
        <f t="shared" si="15"/>
        <v>7083.333333333333</v>
      </c>
      <c r="T18" s="259">
        <v>1</v>
      </c>
      <c r="U18" s="194">
        <f t="shared" si="6"/>
        <v>93500.000000000015</v>
      </c>
      <c r="V18" s="259">
        <v>1</v>
      </c>
      <c r="W18" s="194">
        <f t="shared" si="2"/>
        <v>102850.00000000003</v>
      </c>
      <c r="X18" s="259">
        <v>1</v>
      </c>
      <c r="Y18" s="194">
        <f t="shared" si="3"/>
        <v>113135.00000000004</v>
      </c>
      <c r="Z18" s="259">
        <v>1</v>
      </c>
      <c r="AA18" s="194">
        <f t="shared" si="4"/>
        <v>124448.50000000006</v>
      </c>
      <c r="AB18" s="35"/>
      <c r="AC18" s="41"/>
      <c r="AD18" s="41"/>
      <c r="AE18" s="41"/>
      <c r="AF18" s="41"/>
      <c r="AG18" s="41"/>
      <c r="AH18" s="41"/>
      <c r="AI18" s="41"/>
    </row>
    <row r="19" spans="1:35" s="10" customFormat="1">
      <c r="A19" s="367" t="s">
        <v>230</v>
      </c>
      <c r="B19" s="48" t="s">
        <v>217</v>
      </c>
      <c r="C19" s="48" t="s">
        <v>213</v>
      </c>
      <c r="D19" s="50" t="s">
        <v>83</v>
      </c>
      <c r="E19" s="53">
        <v>65000</v>
      </c>
      <c r="F19" s="54">
        <v>0</v>
      </c>
      <c r="G19" s="171" t="s">
        <v>67</v>
      </c>
      <c r="H19" s="40">
        <f t="shared" si="0"/>
        <v>5416.666666666667</v>
      </c>
      <c r="I19" s="40">
        <f t="shared" ref="I19:S19" si="16">IF($G19=I$5,  ($E19/12)+$F19,  IF(H19&gt;0,($E19/12)+$F19,0))</f>
        <v>5416.666666666667</v>
      </c>
      <c r="J19" s="113">
        <f t="shared" si="16"/>
        <v>5416.666666666667</v>
      </c>
      <c r="K19" s="40">
        <f t="shared" si="16"/>
        <v>5416.666666666667</v>
      </c>
      <c r="L19" s="40">
        <f t="shared" si="16"/>
        <v>5416.666666666667</v>
      </c>
      <c r="M19" s="113">
        <f t="shared" si="16"/>
        <v>5416.666666666667</v>
      </c>
      <c r="N19" s="40">
        <f t="shared" si="16"/>
        <v>5416.666666666667</v>
      </c>
      <c r="O19" s="40">
        <f t="shared" si="16"/>
        <v>5416.666666666667</v>
      </c>
      <c r="P19" s="113">
        <f t="shared" si="16"/>
        <v>5416.666666666667</v>
      </c>
      <c r="Q19" s="40">
        <f t="shared" si="16"/>
        <v>5416.666666666667</v>
      </c>
      <c r="R19" s="40">
        <f t="shared" si="16"/>
        <v>5416.666666666667</v>
      </c>
      <c r="S19" s="121">
        <f t="shared" si="16"/>
        <v>5416.666666666667</v>
      </c>
      <c r="T19" s="259">
        <v>1</v>
      </c>
      <c r="U19" s="194">
        <f t="shared" si="6"/>
        <v>71500</v>
      </c>
      <c r="V19" s="259">
        <v>1</v>
      </c>
      <c r="W19" s="194">
        <f t="shared" si="2"/>
        <v>78650</v>
      </c>
      <c r="X19" s="259">
        <v>1</v>
      </c>
      <c r="Y19" s="194">
        <f t="shared" si="3"/>
        <v>86515</v>
      </c>
      <c r="Z19" s="259">
        <v>1</v>
      </c>
      <c r="AA19" s="194">
        <f t="shared" si="4"/>
        <v>95166.500000000015</v>
      </c>
      <c r="AB19" s="35"/>
      <c r="AC19" s="363"/>
      <c r="AD19" s="363"/>
      <c r="AE19" s="363"/>
      <c r="AF19" s="363"/>
      <c r="AG19" s="363"/>
      <c r="AH19" s="363"/>
      <c r="AI19" s="363"/>
    </row>
    <row r="20" spans="1:35" s="10" customFormat="1">
      <c r="A20" s="367" t="s">
        <v>231</v>
      </c>
      <c r="B20" s="48" t="s">
        <v>222</v>
      </c>
      <c r="C20" s="48" t="s">
        <v>223</v>
      </c>
      <c r="D20" s="50" t="s">
        <v>224</v>
      </c>
      <c r="E20" s="53">
        <v>125000</v>
      </c>
      <c r="F20" s="54"/>
      <c r="G20" s="171" t="s">
        <v>67</v>
      </c>
      <c r="H20" s="40">
        <f t="shared" si="0"/>
        <v>10416.666666666666</v>
      </c>
      <c r="I20" s="40">
        <f t="shared" ref="I20:S20" si="17">IF($G20=I$5,  ($E20/12)+$F20,  IF(H20&gt;0,($E20/12)+$F20,0))</f>
        <v>10416.666666666666</v>
      </c>
      <c r="J20" s="113">
        <f t="shared" si="17"/>
        <v>10416.666666666666</v>
      </c>
      <c r="K20" s="40">
        <f t="shared" si="17"/>
        <v>10416.666666666666</v>
      </c>
      <c r="L20" s="40">
        <f t="shared" si="17"/>
        <v>10416.666666666666</v>
      </c>
      <c r="M20" s="113">
        <f t="shared" si="17"/>
        <v>10416.666666666666</v>
      </c>
      <c r="N20" s="40">
        <f t="shared" si="17"/>
        <v>10416.666666666666</v>
      </c>
      <c r="O20" s="40">
        <f t="shared" si="17"/>
        <v>10416.666666666666</v>
      </c>
      <c r="P20" s="113">
        <f t="shared" si="17"/>
        <v>10416.666666666666</v>
      </c>
      <c r="Q20" s="40">
        <f t="shared" si="17"/>
        <v>10416.666666666666</v>
      </c>
      <c r="R20" s="40">
        <f t="shared" si="17"/>
        <v>10416.666666666666</v>
      </c>
      <c r="S20" s="121">
        <f t="shared" si="17"/>
        <v>10416.666666666666</v>
      </c>
      <c r="T20" s="259">
        <v>2</v>
      </c>
      <c r="U20" s="194">
        <f t="shared" si="6"/>
        <v>137500</v>
      </c>
      <c r="V20" s="259">
        <v>3</v>
      </c>
      <c r="W20" s="194">
        <f t="shared" si="2"/>
        <v>151250</v>
      </c>
      <c r="X20" s="259">
        <v>4</v>
      </c>
      <c r="Y20" s="194">
        <f t="shared" si="3"/>
        <v>166375</v>
      </c>
      <c r="Z20" s="259">
        <v>5</v>
      </c>
      <c r="AA20" s="194">
        <f t="shared" si="4"/>
        <v>183012.50000000003</v>
      </c>
      <c r="AB20" s="35"/>
      <c r="AC20" s="363"/>
      <c r="AD20" s="363"/>
      <c r="AE20" s="363"/>
      <c r="AF20" s="363"/>
      <c r="AG20" s="363"/>
      <c r="AH20" s="363"/>
      <c r="AI20" s="363"/>
    </row>
    <row r="21" spans="1:35" s="10" customFormat="1">
      <c r="A21" s="49"/>
      <c r="B21" s="48"/>
      <c r="C21" s="48"/>
      <c r="D21" s="50"/>
      <c r="E21" s="53"/>
      <c r="F21" s="54"/>
      <c r="G21" s="171"/>
      <c r="H21" s="40"/>
      <c r="I21" s="40"/>
      <c r="J21" s="113"/>
      <c r="K21" s="40"/>
      <c r="L21" s="40"/>
      <c r="M21" s="113"/>
      <c r="N21" s="40"/>
      <c r="O21" s="40"/>
      <c r="P21" s="113"/>
      <c r="Q21" s="40"/>
      <c r="R21" s="40"/>
      <c r="S21" s="121"/>
      <c r="T21" s="259"/>
      <c r="U21" s="194"/>
      <c r="V21" s="259"/>
      <c r="W21" s="194"/>
      <c r="X21" s="259"/>
      <c r="Y21" s="194"/>
      <c r="Z21" s="259"/>
      <c r="AA21" s="194"/>
      <c r="AB21" s="35"/>
      <c r="AC21" s="363"/>
      <c r="AD21" s="363"/>
      <c r="AE21" s="363"/>
      <c r="AF21" s="363"/>
      <c r="AG21" s="363"/>
      <c r="AH21" s="363"/>
      <c r="AI21" s="363"/>
    </row>
    <row r="22" spans="1:35" s="5" customFormat="1">
      <c r="A22" s="465" t="s">
        <v>341</v>
      </c>
      <c r="B22" s="333"/>
      <c r="C22" s="48"/>
      <c r="D22" s="50"/>
      <c r="E22" s="53"/>
      <c r="F22" s="54"/>
      <c r="G22" s="171"/>
      <c r="H22" s="40"/>
      <c r="I22" s="40"/>
      <c r="J22" s="113"/>
      <c r="K22" s="40"/>
      <c r="L22" s="40"/>
      <c r="M22" s="113"/>
      <c r="N22" s="40"/>
      <c r="O22" s="40"/>
      <c r="P22" s="113"/>
      <c r="Q22" s="40"/>
      <c r="R22" s="40"/>
      <c r="S22" s="121"/>
      <c r="T22" s="259"/>
      <c r="U22" s="194"/>
      <c r="V22" s="259"/>
      <c r="W22" s="194"/>
      <c r="X22" s="259"/>
      <c r="Y22" s="194"/>
      <c r="Z22" s="259"/>
      <c r="AA22" s="194"/>
      <c r="AB22" s="35"/>
      <c r="AC22" s="41"/>
      <c r="AD22" s="41"/>
      <c r="AE22" s="41"/>
      <c r="AF22" s="41"/>
      <c r="AG22" s="41"/>
      <c r="AH22" s="41"/>
      <c r="AI22" s="41"/>
    </row>
    <row r="23" spans="1:35" s="5" customFormat="1">
      <c r="A23" s="466" t="s">
        <v>365</v>
      </c>
      <c r="B23" s="467" t="s">
        <v>348</v>
      </c>
      <c r="C23" s="48"/>
      <c r="D23" s="50" t="s">
        <v>373</v>
      </c>
      <c r="E23" s="53">
        <v>54400</v>
      </c>
      <c r="F23" s="54"/>
      <c r="G23" s="171" t="s">
        <v>67</v>
      </c>
      <c r="H23" s="40">
        <f>IF('CASH FLOW'!$R$2=1,IF($G23=H$5,($E23/12)+$F23,0),0)</f>
        <v>0</v>
      </c>
      <c r="I23" s="40">
        <f>IF('CASH FLOW'!$R$2=1,IF($G23=I$5,  ($E23/12)+$F23,  IF(H23&gt;0,($E23/12)+$F23,0)),0)</f>
        <v>0</v>
      </c>
      <c r="J23" s="113">
        <f>IF('CASH FLOW'!$R$2=1,IF($G23=J$5,  ($E23/12)+$F23,  IF(I23&gt;0,($E23/12)+$F23,0)),0)</f>
        <v>0</v>
      </c>
      <c r="K23" s="40">
        <f>IF('CASH FLOW'!$R$2=1,IF($G23=K$5,  ($E23/12)+$F23,  IF(J23&gt;0,($E23/12)+$F23,0)),0)</f>
        <v>0</v>
      </c>
      <c r="L23" s="40">
        <f>IF('CASH FLOW'!$R$2=1,IF($G23=L$5,  ($E23/12)+$F23,  IF(K23&gt;0,($E23/12)+$F23,0)),0)</f>
        <v>0</v>
      </c>
      <c r="M23" s="113">
        <f>IF('CASH FLOW'!$R$2=1,IF($G23=M$5,  ($E23/12)+$F23,  IF(L23&gt;0,($E23/12)+$F23,0)),0)</f>
        <v>0</v>
      </c>
      <c r="N23" s="40">
        <f>IF('CASH FLOW'!$R$2=1,IF($G23=N$5,  ($E23/12)+$F23,  IF(M23&gt;0,($E23/12)+$F23,0)),0)</f>
        <v>0</v>
      </c>
      <c r="O23" s="40">
        <f>IF('CASH FLOW'!$R$2=1,IF($G23=O$5,  ($E23/12)+$F23,  IF(N23&gt;0,($E23/12)+$F23,0)),0)</f>
        <v>0</v>
      </c>
      <c r="P23" s="113">
        <f>IF('CASH FLOW'!$R$2=1,IF($G23=P$5,  ($E23/12)+$F23,  IF(O23&gt;0,($E23/12)+$F23,0)),0)</f>
        <v>0</v>
      </c>
      <c r="Q23" s="40">
        <f>IF('CASH FLOW'!$R$2=1,IF($G23=Q$5,  ($E23/12)+$F23,  IF(P23&gt;0,($E23/12)+$F23,0)),0)</f>
        <v>0</v>
      </c>
      <c r="R23" s="40">
        <f>IF('CASH FLOW'!$R$2=1,IF($G23=R$5,  ($E23/12)+$F23,  IF(Q23&gt;0,($E23/12)+$F23,0)),0)</f>
        <v>0</v>
      </c>
      <c r="S23" s="121">
        <f>IF('CASH FLOW'!$R$2=1,IF($G23=S$5,  ($E23/12)+$F23,  IF(R23&gt;0,($E23/12)+$F23,0)),0)</f>
        <v>0</v>
      </c>
      <c r="T23" s="259">
        <f>IF(S23&gt;0,1,0)</f>
        <v>0</v>
      </c>
      <c r="U23" s="194">
        <f t="shared" ref="U23:U53" si="18">E23*1.1</f>
        <v>59840.000000000007</v>
      </c>
      <c r="V23" s="259">
        <f>IF($T$23&gt;0,1,0)</f>
        <v>0</v>
      </c>
      <c r="W23" s="194">
        <f t="shared" ref="W23:W53" si="19">U23*1.1</f>
        <v>65824.000000000015</v>
      </c>
      <c r="X23" s="259">
        <f t="shared" ref="X23:X39" si="20">IF($T$23&gt;0,1,0)</f>
        <v>0</v>
      </c>
      <c r="Y23" s="194">
        <f t="shared" ref="Y23:Y53" si="21">W23*1.1</f>
        <v>72406.400000000023</v>
      </c>
      <c r="Z23" s="259">
        <f t="shared" ref="Z23:Z39" si="22">IF($T$23&gt;0,1,0)</f>
        <v>0</v>
      </c>
      <c r="AA23" s="194">
        <f t="shared" ref="AA23:AA53" si="23">Y23*1.1</f>
        <v>79647.040000000037</v>
      </c>
      <c r="AB23" s="35"/>
      <c r="AC23" s="41"/>
      <c r="AD23" s="41"/>
      <c r="AE23" s="41"/>
      <c r="AF23" s="41"/>
      <c r="AG23" s="41"/>
      <c r="AH23" s="41"/>
      <c r="AI23" s="41"/>
    </row>
    <row r="24" spans="1:35" s="5" customFormat="1">
      <c r="A24" s="466" t="s">
        <v>407</v>
      </c>
      <c r="B24" s="467" t="s">
        <v>349</v>
      </c>
      <c r="C24" s="48"/>
      <c r="D24" s="50" t="s">
        <v>374</v>
      </c>
      <c r="E24" s="53">
        <v>80000</v>
      </c>
      <c r="F24" s="54"/>
      <c r="G24" s="171" t="s">
        <v>67</v>
      </c>
      <c r="H24" s="40">
        <f>IF('CASH FLOW'!$R$2=1,IF($G24=H$5,($E24/12)+$F24,0),0)</f>
        <v>0</v>
      </c>
      <c r="I24" s="40">
        <f>IF('CASH FLOW'!$R$2=1,IF($G24=I$5,  ($E24/12)+$F24,  IF(H24&gt;0,($E24/12)+$F24,0)),0)</f>
        <v>0</v>
      </c>
      <c r="J24" s="113">
        <f>IF('CASH FLOW'!$R$2=1,IF($G24=J$5,  ($E24/12)+$F24,  IF(I24&gt;0,($E24/12)+$F24,0)),0)</f>
        <v>0</v>
      </c>
      <c r="K24" s="40">
        <f>IF('CASH FLOW'!$R$2=1,IF($G24=K$5,  ($E24/12)+$F24,  IF(J24&gt;0,($E24/12)+$F24,0)),0)</f>
        <v>0</v>
      </c>
      <c r="L24" s="40">
        <f>IF('CASH FLOW'!$R$2=1,IF($G24=L$5,  ($E24/12)+$F24,  IF(K24&gt;0,($E24/12)+$F24,0)),0)</f>
        <v>0</v>
      </c>
      <c r="M24" s="113">
        <f>IF('CASH FLOW'!$R$2=1,IF($G24=M$5,  ($E24/12)+$F24,  IF(L24&gt;0,($E24/12)+$F24,0)),0)</f>
        <v>0</v>
      </c>
      <c r="N24" s="40">
        <f>IF('CASH FLOW'!$R$2=1,IF($G24=N$5,  ($E24/12)+$F24,  IF(M24&gt;0,($E24/12)+$F24,0)),0)</f>
        <v>0</v>
      </c>
      <c r="O24" s="40">
        <f>IF('CASH FLOW'!$R$2=1,IF($G24=O$5,  ($E24/12)+$F24,  IF(N24&gt;0,($E24/12)+$F24,0)),0)</f>
        <v>0</v>
      </c>
      <c r="P24" s="113">
        <f>IF('CASH FLOW'!$R$2=1,IF($G24=P$5,  ($E24/12)+$F24,  IF(O24&gt;0,($E24/12)+$F24,0)),0)</f>
        <v>0</v>
      </c>
      <c r="Q24" s="40">
        <f>IF('CASH FLOW'!$R$2=1,IF($G24=Q$5,  ($E24/12)+$F24,  IF(P24&gt;0,($E24/12)+$F24,0)),0)</f>
        <v>0</v>
      </c>
      <c r="R24" s="40">
        <f>IF('CASH FLOW'!$R$2=1,IF($G24=R$5,  ($E24/12)+$F24,  IF(Q24&gt;0,($E24/12)+$F24,0)),0)</f>
        <v>0</v>
      </c>
      <c r="S24" s="121">
        <f>IF('CASH FLOW'!$R$2=1,IF($G24=S$5,  ($E24/12)+$F24,  IF(R24&gt;0,($E24/12)+$F24,0)),0)</f>
        <v>0</v>
      </c>
      <c r="T24" s="259">
        <f t="shared" ref="T24:T39" si="24">IF(S24&gt;0,1,0)</f>
        <v>0</v>
      </c>
      <c r="U24" s="194">
        <f t="shared" si="18"/>
        <v>88000</v>
      </c>
      <c r="V24" s="259">
        <f t="shared" ref="V24:V39" si="25">IF($T$23&gt;0,1,0)</f>
        <v>0</v>
      </c>
      <c r="W24" s="194">
        <f t="shared" si="19"/>
        <v>96800.000000000015</v>
      </c>
      <c r="X24" s="259">
        <f t="shared" si="20"/>
        <v>0</v>
      </c>
      <c r="Y24" s="194">
        <f t="shared" si="21"/>
        <v>106480.00000000003</v>
      </c>
      <c r="Z24" s="259">
        <f t="shared" si="22"/>
        <v>0</v>
      </c>
      <c r="AA24" s="194">
        <f t="shared" si="23"/>
        <v>117128.00000000004</v>
      </c>
      <c r="AB24" s="35"/>
      <c r="AC24" s="41"/>
      <c r="AD24" s="41"/>
      <c r="AE24" s="41"/>
      <c r="AF24" s="41"/>
      <c r="AG24" s="41"/>
      <c r="AH24" s="41"/>
      <c r="AI24" s="41"/>
    </row>
    <row r="25" spans="1:35" s="5" customFormat="1">
      <c r="A25" s="466" t="s">
        <v>366</v>
      </c>
      <c r="B25" s="467" t="s">
        <v>350</v>
      </c>
      <c r="C25" s="48"/>
      <c r="D25" s="50" t="s">
        <v>374</v>
      </c>
      <c r="E25" s="53">
        <v>60000</v>
      </c>
      <c r="F25" s="54"/>
      <c r="G25" s="171" t="s">
        <v>67</v>
      </c>
      <c r="H25" s="40">
        <f>IF('CASH FLOW'!$R$2=1,IF($G25=H$5,($E25/12)+$F25,0),0)</f>
        <v>0</v>
      </c>
      <c r="I25" s="40">
        <f>IF('CASH FLOW'!$R$2=1,IF($G25=I$5,  ($E25/12)+$F25,  IF(H25&gt;0,($E25/12)+$F25,0)),0)</f>
        <v>0</v>
      </c>
      <c r="J25" s="113">
        <f>IF('CASH FLOW'!$R$2=1,IF($G25=J$5,  ($E25/12)+$F25,  IF(I25&gt;0,($E25/12)+$F25,0)),0)</f>
        <v>0</v>
      </c>
      <c r="K25" s="40">
        <f>IF('CASH FLOW'!$R$2=1,IF($G25=K$5,  ($E25/12)+$F25,  IF(J25&gt;0,($E25/12)+$F25,0)),0)</f>
        <v>0</v>
      </c>
      <c r="L25" s="40">
        <f>IF('CASH FLOW'!$R$2=1,IF($G25=L$5,  ($E25/12)+$F25,  IF(K25&gt;0,($E25/12)+$F25,0)),0)</f>
        <v>0</v>
      </c>
      <c r="M25" s="113">
        <f>IF('CASH FLOW'!$R$2=1,IF($G25=M$5,  ($E25/12)+$F25,  IF(L25&gt;0,($E25/12)+$F25,0)),0)</f>
        <v>0</v>
      </c>
      <c r="N25" s="40">
        <f>IF('CASH FLOW'!$R$2=1,IF($G25=N$5,  ($E25/12)+$F25,  IF(M25&gt;0,($E25/12)+$F25,0)),0)</f>
        <v>0</v>
      </c>
      <c r="O25" s="40">
        <f>IF('CASH FLOW'!$R$2=1,IF($G25=O$5,  ($E25/12)+$F25,  IF(N25&gt;0,($E25/12)+$F25,0)),0)</f>
        <v>0</v>
      </c>
      <c r="P25" s="113">
        <f>IF('CASH FLOW'!$R$2=1,IF($G25=P$5,  ($E25/12)+$F25,  IF(O25&gt;0,($E25/12)+$F25,0)),0)</f>
        <v>0</v>
      </c>
      <c r="Q25" s="40">
        <f>IF('CASH FLOW'!$R$2=1,IF($G25=Q$5,  ($E25/12)+$F25,  IF(P25&gt;0,($E25/12)+$F25,0)),0)</f>
        <v>0</v>
      </c>
      <c r="R25" s="40">
        <f>IF('CASH FLOW'!$R$2=1,IF($G25=R$5,  ($E25/12)+$F25,  IF(Q25&gt;0,($E25/12)+$F25,0)),0)</f>
        <v>0</v>
      </c>
      <c r="S25" s="121">
        <f>IF('CASH FLOW'!$R$2=1,IF($G25=S$5,  ($E25/12)+$F25,  IF(R25&gt;0,($E25/12)+$F25,0)),0)</f>
        <v>0</v>
      </c>
      <c r="T25" s="259">
        <f t="shared" si="24"/>
        <v>0</v>
      </c>
      <c r="U25" s="194">
        <f t="shared" si="18"/>
        <v>66000</v>
      </c>
      <c r="V25" s="259">
        <f t="shared" si="25"/>
        <v>0</v>
      </c>
      <c r="W25" s="194">
        <f t="shared" si="19"/>
        <v>72600</v>
      </c>
      <c r="X25" s="259">
        <f t="shared" si="20"/>
        <v>0</v>
      </c>
      <c r="Y25" s="194">
        <f t="shared" si="21"/>
        <v>79860</v>
      </c>
      <c r="Z25" s="259">
        <f t="shared" si="22"/>
        <v>0</v>
      </c>
      <c r="AA25" s="194">
        <f t="shared" si="23"/>
        <v>87846</v>
      </c>
      <c r="AB25" s="35"/>
      <c r="AC25" s="41"/>
      <c r="AD25" s="41"/>
      <c r="AE25" s="41"/>
      <c r="AF25" s="41"/>
      <c r="AG25" s="41"/>
      <c r="AH25" s="41"/>
      <c r="AI25" s="41"/>
    </row>
    <row r="26" spans="1:35" s="5" customFormat="1">
      <c r="A26" s="466" t="s">
        <v>367</v>
      </c>
      <c r="B26" s="467" t="s">
        <v>351</v>
      </c>
      <c r="C26" s="48"/>
      <c r="D26" s="50" t="s">
        <v>375</v>
      </c>
      <c r="E26" s="53">
        <v>80000</v>
      </c>
      <c r="F26" s="54"/>
      <c r="G26" s="171" t="s">
        <v>67</v>
      </c>
      <c r="H26" s="40">
        <f>IF('CASH FLOW'!$R$2=1,IF($G26=H$5,($E26/12)+$F26,0),0)</f>
        <v>0</v>
      </c>
      <c r="I26" s="40">
        <f>IF('CASH FLOW'!$R$2=1,IF($G26=I$5,  ($E26/12)+$F26,  IF(H26&gt;0,($E26/12)+$F26,0)),0)</f>
        <v>0</v>
      </c>
      <c r="J26" s="113">
        <f>IF('CASH FLOW'!$R$2=1,IF($G26=J$5,  ($E26/12)+$F26,  IF(I26&gt;0,($E26/12)+$F26,0)),0)</f>
        <v>0</v>
      </c>
      <c r="K26" s="40">
        <f>IF('CASH FLOW'!$R$2=1,IF($G26=K$5,  ($E26/12)+$F26,  IF(J26&gt;0,($E26/12)+$F26,0)),0)</f>
        <v>0</v>
      </c>
      <c r="L26" s="40">
        <f>IF('CASH FLOW'!$R$2=1,IF($G26=L$5,  ($E26/12)+$F26,  IF(K26&gt;0,($E26/12)+$F26,0)),0)</f>
        <v>0</v>
      </c>
      <c r="M26" s="113">
        <f>IF('CASH FLOW'!$R$2=1,IF($G26=M$5,  ($E26/12)+$F26,  IF(L26&gt;0,($E26/12)+$F26,0)),0)</f>
        <v>0</v>
      </c>
      <c r="N26" s="40">
        <f>IF('CASH FLOW'!$R$2=1,IF($G26=N$5,  ($E26/12)+$F26,  IF(M26&gt;0,($E26/12)+$F26,0)),0)</f>
        <v>0</v>
      </c>
      <c r="O26" s="40">
        <f>IF('CASH FLOW'!$R$2=1,IF($G26=O$5,  ($E26/12)+$F26,  IF(N26&gt;0,($E26/12)+$F26,0)),0)</f>
        <v>0</v>
      </c>
      <c r="P26" s="113">
        <f>IF('CASH FLOW'!$R$2=1,IF($G26=P$5,  ($E26/12)+$F26,  IF(O26&gt;0,($E26/12)+$F26,0)),0)</f>
        <v>0</v>
      </c>
      <c r="Q26" s="40">
        <f>IF('CASH FLOW'!$R$2=1,IF($G26=Q$5,  ($E26/12)+$F26,  IF(P26&gt;0,($E26/12)+$F26,0)),0)</f>
        <v>0</v>
      </c>
      <c r="R26" s="40">
        <f>IF('CASH FLOW'!$R$2=1,IF($G26=R$5,  ($E26/12)+$F26,  IF(Q26&gt;0,($E26/12)+$F26,0)),0)</f>
        <v>0</v>
      </c>
      <c r="S26" s="121">
        <f>IF('CASH FLOW'!$R$2=1,IF($G26=S$5,  ($E26/12)+$F26,  IF(R26&gt;0,($E26/12)+$F26,0)),0)</f>
        <v>0</v>
      </c>
      <c r="T26" s="259">
        <f t="shared" si="24"/>
        <v>0</v>
      </c>
      <c r="U26" s="194">
        <f t="shared" si="18"/>
        <v>88000</v>
      </c>
      <c r="V26" s="259">
        <f t="shared" si="25"/>
        <v>0</v>
      </c>
      <c r="W26" s="194">
        <f t="shared" si="19"/>
        <v>96800.000000000015</v>
      </c>
      <c r="X26" s="259">
        <f t="shared" si="20"/>
        <v>0</v>
      </c>
      <c r="Y26" s="194">
        <f t="shared" si="21"/>
        <v>106480.00000000003</v>
      </c>
      <c r="Z26" s="259">
        <f t="shared" si="22"/>
        <v>0</v>
      </c>
      <c r="AA26" s="194">
        <f t="shared" si="23"/>
        <v>117128.00000000004</v>
      </c>
      <c r="AB26" s="35"/>
      <c r="AC26" s="41"/>
      <c r="AD26" s="41"/>
      <c r="AE26" s="41"/>
      <c r="AF26" s="41"/>
      <c r="AG26" s="41"/>
      <c r="AH26" s="41"/>
      <c r="AI26" s="41"/>
    </row>
    <row r="27" spans="1:35" s="5" customFormat="1">
      <c r="A27" s="466" t="s">
        <v>368</v>
      </c>
      <c r="B27" s="467" t="s">
        <v>352</v>
      </c>
      <c r="C27" s="48"/>
      <c r="D27" s="50" t="s">
        <v>373</v>
      </c>
      <c r="E27" s="53">
        <v>125000</v>
      </c>
      <c r="F27" s="54"/>
      <c r="G27" s="171" t="s">
        <v>67</v>
      </c>
      <c r="H27" s="40">
        <f>IF('CASH FLOW'!$R$2=1,IF($G27=H$5,($E27/12)+$F27,0),0)</f>
        <v>0</v>
      </c>
      <c r="I27" s="40">
        <f>IF('CASH FLOW'!$R$2=1,IF($G27=I$5,  ($E27/12)+$F27,  IF(H27&gt;0,($E27/12)+$F27,0)),0)</f>
        <v>0</v>
      </c>
      <c r="J27" s="113">
        <f>IF('CASH FLOW'!$R$2=1,IF($G27=J$5,  ($E27/12)+$F27,  IF(I27&gt;0,($E27/12)+$F27,0)),0)</f>
        <v>0</v>
      </c>
      <c r="K27" s="40">
        <f>IF('CASH FLOW'!$R$2=1,IF($G27=K$5,  ($E27/12)+$F27,  IF(J27&gt;0,($E27/12)+$F27,0)),0)</f>
        <v>0</v>
      </c>
      <c r="L27" s="40">
        <f>IF('CASH FLOW'!$R$2=1,IF($G27=L$5,  ($E27/12)+$F27,  IF(K27&gt;0,($E27/12)+$F27,0)),0)</f>
        <v>0</v>
      </c>
      <c r="M27" s="113">
        <f>IF('CASH FLOW'!$R$2=1,IF($G27=M$5,  ($E27/12)+$F27,  IF(L27&gt;0,($E27/12)+$F27,0)),0)</f>
        <v>0</v>
      </c>
      <c r="N27" s="40">
        <f>IF('CASH FLOW'!$R$2=1,IF($G27=N$5,  ($E27/12)+$F27,  IF(M27&gt;0,($E27/12)+$F27,0)),0)</f>
        <v>0</v>
      </c>
      <c r="O27" s="40">
        <f>IF('CASH FLOW'!$R$2=1,IF($G27=O$5,  ($E27/12)+$F27,  IF(N27&gt;0,($E27/12)+$F27,0)),0)</f>
        <v>0</v>
      </c>
      <c r="P27" s="113">
        <f>IF('CASH FLOW'!$R$2=1,IF($G27=P$5,  ($E27/12)+$F27,  IF(O27&gt;0,($E27/12)+$F27,0)),0)</f>
        <v>0</v>
      </c>
      <c r="Q27" s="40">
        <f>IF('CASH FLOW'!$R$2=1,IF($G27=Q$5,  ($E27/12)+$F27,  IF(P27&gt;0,($E27/12)+$F27,0)),0)</f>
        <v>0</v>
      </c>
      <c r="R27" s="40">
        <f>IF('CASH FLOW'!$R$2=1,IF($G27=R$5,  ($E27/12)+$F27,  IF(Q27&gt;0,($E27/12)+$F27,0)),0)</f>
        <v>0</v>
      </c>
      <c r="S27" s="121">
        <f>IF('CASH FLOW'!$R$2=1,IF($G27=S$5,  ($E27/12)+$F27,  IF(R27&gt;0,($E27/12)+$F27,0)),0)</f>
        <v>0</v>
      </c>
      <c r="T27" s="259">
        <f t="shared" si="24"/>
        <v>0</v>
      </c>
      <c r="U27" s="194">
        <f t="shared" si="18"/>
        <v>137500</v>
      </c>
      <c r="V27" s="259">
        <f t="shared" si="25"/>
        <v>0</v>
      </c>
      <c r="W27" s="194">
        <f t="shared" si="19"/>
        <v>151250</v>
      </c>
      <c r="X27" s="259">
        <f t="shared" si="20"/>
        <v>0</v>
      </c>
      <c r="Y27" s="194">
        <f t="shared" si="21"/>
        <v>166375</v>
      </c>
      <c r="Z27" s="259">
        <f t="shared" si="22"/>
        <v>0</v>
      </c>
      <c r="AA27" s="194">
        <f t="shared" si="23"/>
        <v>183012.50000000003</v>
      </c>
      <c r="AB27" s="35"/>
      <c r="AC27" s="41"/>
      <c r="AD27" s="41"/>
      <c r="AE27" s="41"/>
      <c r="AF27" s="41"/>
      <c r="AG27" s="41"/>
      <c r="AH27" s="41"/>
      <c r="AI27" s="41"/>
    </row>
    <row r="28" spans="1:35" s="5" customFormat="1">
      <c r="A28" s="466" t="s">
        <v>406</v>
      </c>
      <c r="B28" s="467" t="s">
        <v>353</v>
      </c>
      <c r="C28" s="48"/>
      <c r="D28" s="50" t="s">
        <v>373</v>
      </c>
      <c r="E28" s="53">
        <v>130000</v>
      </c>
      <c r="F28" s="54"/>
      <c r="G28" s="171" t="s">
        <v>67</v>
      </c>
      <c r="H28" s="40">
        <f>IF('CASH FLOW'!$R$2=1,IF($G28=H$5,($E28/12)+$F28,0),0)</f>
        <v>0</v>
      </c>
      <c r="I28" s="40">
        <f>IF('CASH FLOW'!$R$2=1,IF($G28=I$5,  ($E28/12)+$F28,  IF(H28&gt;0,($E28/12)+$F28,0)),0)</f>
        <v>0</v>
      </c>
      <c r="J28" s="113">
        <f>IF('CASH FLOW'!$R$2=1,IF($G28=J$5,  ($E28/12)+$F28,  IF(I28&gt;0,($E28/12)+$F28,0)),0)</f>
        <v>0</v>
      </c>
      <c r="K28" s="40">
        <f>IF('CASH FLOW'!$R$2=1,IF($G28=K$5,  ($E28/12)+$F28,  IF(J28&gt;0,($E28/12)+$F28,0)),0)</f>
        <v>0</v>
      </c>
      <c r="L28" s="40">
        <f>IF('CASH FLOW'!$R$2=1,IF($G28=L$5,  ($E28/12)+$F28,  IF(K28&gt;0,($E28/12)+$F28,0)),0)</f>
        <v>0</v>
      </c>
      <c r="M28" s="113">
        <f>IF('CASH FLOW'!$R$2=1,IF($G28=M$5,  ($E28/12)+$F28,  IF(L28&gt;0,($E28/12)+$F28,0)),0)</f>
        <v>0</v>
      </c>
      <c r="N28" s="40">
        <f>IF('CASH FLOW'!$R$2=1,IF($G28=N$5,  ($E28/12)+$F28,  IF(M28&gt;0,($E28/12)+$F28,0)),0)</f>
        <v>0</v>
      </c>
      <c r="O28" s="40">
        <f>IF('CASH FLOW'!$R$2=1,IF($G28=O$5,  ($E28/12)+$F28,  IF(N28&gt;0,($E28/12)+$F28,0)),0)</f>
        <v>0</v>
      </c>
      <c r="P28" s="113">
        <f>IF('CASH FLOW'!$R$2=1,IF($G28=P$5,  ($E28/12)+$F28,  IF(O28&gt;0,($E28/12)+$F28,0)),0)</f>
        <v>0</v>
      </c>
      <c r="Q28" s="40">
        <f>IF('CASH FLOW'!$R$2=1,IF($G28=Q$5,  ($E28/12)+$F28,  IF(P28&gt;0,($E28/12)+$F28,0)),0)</f>
        <v>0</v>
      </c>
      <c r="R28" s="40">
        <f>IF('CASH FLOW'!$R$2=1,IF($G28=R$5,  ($E28/12)+$F28,  IF(Q28&gt;0,($E28/12)+$F28,0)),0)</f>
        <v>0</v>
      </c>
      <c r="S28" s="121">
        <f>IF('CASH FLOW'!$R$2=1,IF($G28=S$5,  ($E28/12)+$F28,  IF(R28&gt;0,($E28/12)+$F28,0)),0)</f>
        <v>0</v>
      </c>
      <c r="T28" s="259">
        <f t="shared" si="24"/>
        <v>0</v>
      </c>
      <c r="U28" s="194">
        <f t="shared" si="18"/>
        <v>143000</v>
      </c>
      <c r="V28" s="259">
        <f t="shared" si="25"/>
        <v>0</v>
      </c>
      <c r="W28" s="194">
        <f t="shared" si="19"/>
        <v>157300</v>
      </c>
      <c r="X28" s="259">
        <f t="shared" si="20"/>
        <v>0</v>
      </c>
      <c r="Y28" s="194">
        <f t="shared" si="21"/>
        <v>173030</v>
      </c>
      <c r="Z28" s="259">
        <f t="shared" si="22"/>
        <v>0</v>
      </c>
      <c r="AA28" s="194">
        <f t="shared" si="23"/>
        <v>190333.00000000003</v>
      </c>
      <c r="AB28" s="35"/>
      <c r="AC28" s="41"/>
      <c r="AD28" s="41"/>
      <c r="AE28" s="41"/>
      <c r="AF28" s="41"/>
      <c r="AG28" s="41"/>
      <c r="AH28" s="41"/>
      <c r="AI28" s="41"/>
    </row>
    <row r="29" spans="1:35" s="5" customFormat="1">
      <c r="A29" s="466" t="s">
        <v>405</v>
      </c>
      <c r="B29" s="467" t="s">
        <v>354</v>
      </c>
      <c r="C29" s="48"/>
      <c r="D29" s="50" t="s">
        <v>373</v>
      </c>
      <c r="E29" s="53">
        <v>100000</v>
      </c>
      <c r="F29" s="54"/>
      <c r="G29" s="171" t="s">
        <v>67</v>
      </c>
      <c r="H29" s="40">
        <f>IF('CASH FLOW'!$R$2=1,IF($G29=H$5,($E29/12)+$F29,0),0)</f>
        <v>0</v>
      </c>
      <c r="I29" s="40">
        <f>IF('CASH FLOW'!$R$2=1,IF($G29=I$5,  ($E29/12)+$F29,  IF(H29&gt;0,($E29/12)+$F29,0)),0)</f>
        <v>0</v>
      </c>
      <c r="J29" s="113">
        <f>IF('CASH FLOW'!$R$2=1,IF($G29=J$5,  ($E29/12)+$F29,  IF(I29&gt;0,($E29/12)+$F29,0)),0)</f>
        <v>0</v>
      </c>
      <c r="K29" s="40">
        <f>IF('CASH FLOW'!$R$2=1,IF($G29=K$5,  ($E29/12)+$F29,  IF(J29&gt;0,($E29/12)+$F29,0)),0)</f>
        <v>0</v>
      </c>
      <c r="L29" s="40">
        <f>IF('CASH FLOW'!$R$2=1,IF($G29=L$5,  ($E29/12)+$F29,  IF(K29&gt;0,($E29/12)+$F29,0)),0)</f>
        <v>0</v>
      </c>
      <c r="M29" s="113">
        <f>IF('CASH FLOW'!$R$2=1,IF($G29=M$5,  ($E29/12)+$F29,  IF(L29&gt;0,($E29/12)+$F29,0)),0)</f>
        <v>0</v>
      </c>
      <c r="N29" s="40">
        <f>IF('CASH FLOW'!$R$2=1,IF($G29=N$5,  ($E29/12)+$F29,  IF(M29&gt;0,($E29/12)+$F29,0)),0)</f>
        <v>0</v>
      </c>
      <c r="O29" s="40">
        <f>IF('CASH FLOW'!$R$2=1,IF($G29=O$5,  ($E29/12)+$F29,  IF(N29&gt;0,($E29/12)+$F29,0)),0)</f>
        <v>0</v>
      </c>
      <c r="P29" s="113">
        <f>IF('CASH FLOW'!$R$2=1,IF($G29=P$5,  ($E29/12)+$F29,  IF(O29&gt;0,($E29/12)+$F29,0)),0)</f>
        <v>0</v>
      </c>
      <c r="Q29" s="40">
        <f>IF('CASH FLOW'!$R$2=1,IF($G29=Q$5,  ($E29/12)+$F29,  IF(P29&gt;0,($E29/12)+$F29,0)),0)</f>
        <v>0</v>
      </c>
      <c r="R29" s="40">
        <f>IF('CASH FLOW'!$R$2=1,IF($G29=R$5,  ($E29/12)+$F29,  IF(Q29&gt;0,($E29/12)+$F29,0)),0)</f>
        <v>0</v>
      </c>
      <c r="S29" s="121">
        <f>IF('CASH FLOW'!$R$2=1,IF($G29=S$5,  ($E29/12)+$F29,  IF(R29&gt;0,($E29/12)+$F29,0)),0)</f>
        <v>0</v>
      </c>
      <c r="T29" s="259">
        <f t="shared" si="24"/>
        <v>0</v>
      </c>
      <c r="U29" s="194">
        <f t="shared" si="18"/>
        <v>110000.00000000001</v>
      </c>
      <c r="V29" s="259">
        <f t="shared" si="25"/>
        <v>0</v>
      </c>
      <c r="W29" s="194">
        <f t="shared" si="19"/>
        <v>121000.00000000003</v>
      </c>
      <c r="X29" s="259">
        <f t="shared" si="20"/>
        <v>0</v>
      </c>
      <c r="Y29" s="194">
        <f t="shared" si="21"/>
        <v>133100.00000000003</v>
      </c>
      <c r="Z29" s="259">
        <f t="shared" si="22"/>
        <v>0</v>
      </c>
      <c r="AA29" s="194">
        <f t="shared" si="23"/>
        <v>146410.00000000006</v>
      </c>
      <c r="AB29" s="35"/>
      <c r="AC29" s="41"/>
      <c r="AD29" s="41"/>
      <c r="AE29" s="41"/>
      <c r="AF29" s="41"/>
      <c r="AG29" s="41"/>
      <c r="AH29" s="41"/>
      <c r="AI29" s="41"/>
    </row>
    <row r="30" spans="1:35" s="5" customFormat="1">
      <c r="A30" s="466" t="s">
        <v>369</v>
      </c>
      <c r="B30" s="467" t="s">
        <v>355</v>
      </c>
      <c r="C30" s="48"/>
      <c r="D30" s="50" t="s">
        <v>373</v>
      </c>
      <c r="E30" s="53">
        <v>85000</v>
      </c>
      <c r="F30" s="54"/>
      <c r="G30" s="171" t="s">
        <v>67</v>
      </c>
      <c r="H30" s="40">
        <f>IF('CASH FLOW'!$R$2=1,IF($G30=H$5,($E30/12)+$F30,0),0)</f>
        <v>0</v>
      </c>
      <c r="I30" s="40">
        <f>IF('CASH FLOW'!$R$2=1,IF($G30=I$5,  ($E30/12)+$F30,  IF(H30&gt;0,($E30/12)+$F30,0)),0)</f>
        <v>0</v>
      </c>
      <c r="J30" s="113">
        <f>IF('CASH FLOW'!$R$2=1,IF($G30=J$5,  ($E30/12)+$F30,  IF(I30&gt;0,($E30/12)+$F30,0)),0)</f>
        <v>0</v>
      </c>
      <c r="K30" s="40">
        <f>IF('CASH FLOW'!$R$2=1,IF($G30=K$5,  ($E30/12)+$F30,  IF(J30&gt;0,($E30/12)+$F30,0)),0)</f>
        <v>0</v>
      </c>
      <c r="L30" s="40">
        <f>IF('CASH FLOW'!$R$2=1,IF($G30=L$5,  ($E30/12)+$F30,  IF(K30&gt;0,($E30/12)+$F30,0)),0)</f>
        <v>0</v>
      </c>
      <c r="M30" s="113">
        <f>IF('CASH FLOW'!$R$2=1,IF($G30=M$5,  ($E30/12)+$F30,  IF(L30&gt;0,($E30/12)+$F30,0)),0)</f>
        <v>0</v>
      </c>
      <c r="N30" s="40">
        <f>IF('CASH FLOW'!$R$2=1,IF($G30=N$5,  ($E30/12)+$F30,  IF(M30&gt;0,($E30/12)+$F30,0)),0)</f>
        <v>0</v>
      </c>
      <c r="O30" s="40">
        <f>IF('CASH FLOW'!$R$2=1,IF($G30=O$5,  ($E30/12)+$F30,  IF(N30&gt;0,($E30/12)+$F30,0)),0)</f>
        <v>0</v>
      </c>
      <c r="P30" s="113">
        <f>IF('CASH FLOW'!$R$2=1,IF($G30=P$5,  ($E30/12)+$F30,  IF(O30&gt;0,($E30/12)+$F30,0)),0)</f>
        <v>0</v>
      </c>
      <c r="Q30" s="40">
        <f>IF('CASH FLOW'!$R$2=1,IF($G30=Q$5,  ($E30/12)+$F30,  IF(P30&gt;0,($E30/12)+$F30,0)),0)</f>
        <v>0</v>
      </c>
      <c r="R30" s="40">
        <f>IF('CASH FLOW'!$R$2=1,IF($G30=R$5,  ($E30/12)+$F30,  IF(Q30&gt;0,($E30/12)+$F30,0)),0)</f>
        <v>0</v>
      </c>
      <c r="S30" s="121">
        <f>IF('CASH FLOW'!$R$2=1,IF($G30=S$5,  ($E30/12)+$F30,  IF(R30&gt;0,($E30/12)+$F30,0)),0)</f>
        <v>0</v>
      </c>
      <c r="T30" s="259">
        <f t="shared" si="24"/>
        <v>0</v>
      </c>
      <c r="U30" s="194">
        <f t="shared" si="18"/>
        <v>93500.000000000015</v>
      </c>
      <c r="V30" s="259">
        <f t="shared" si="25"/>
        <v>0</v>
      </c>
      <c r="W30" s="194">
        <f t="shared" si="19"/>
        <v>102850.00000000003</v>
      </c>
      <c r="X30" s="259">
        <f t="shared" si="20"/>
        <v>0</v>
      </c>
      <c r="Y30" s="194">
        <f t="shared" si="21"/>
        <v>113135.00000000004</v>
      </c>
      <c r="Z30" s="259">
        <f t="shared" si="22"/>
        <v>0</v>
      </c>
      <c r="AA30" s="194">
        <f t="shared" si="23"/>
        <v>124448.50000000006</v>
      </c>
      <c r="AB30" s="35"/>
      <c r="AC30" s="41"/>
      <c r="AD30" s="41"/>
      <c r="AE30" s="41"/>
      <c r="AF30" s="41"/>
      <c r="AG30" s="41"/>
      <c r="AH30" s="41"/>
      <c r="AI30" s="41"/>
    </row>
    <row r="31" spans="1:35" s="5" customFormat="1">
      <c r="A31" s="466" t="s">
        <v>370</v>
      </c>
      <c r="B31" s="467" t="s">
        <v>356</v>
      </c>
      <c r="C31" s="48"/>
      <c r="D31" s="50" t="s">
        <v>373</v>
      </c>
      <c r="E31" s="53">
        <v>78000</v>
      </c>
      <c r="F31" s="54"/>
      <c r="G31" s="171" t="s">
        <v>67</v>
      </c>
      <c r="H31" s="40">
        <f>IF('CASH FLOW'!$R$2=1,IF($G31=H$5,($E31/12)+$F31,0),0)</f>
        <v>0</v>
      </c>
      <c r="I31" s="40">
        <f>IF('CASH FLOW'!$R$2=1,IF($G31=I$5,  ($E31/12)+$F31,  IF(H31&gt;0,($E31/12)+$F31,0)),0)</f>
        <v>0</v>
      </c>
      <c r="J31" s="113">
        <f>IF('CASH FLOW'!$R$2=1,IF($G31=J$5,  ($E31/12)+$F31,  IF(I31&gt;0,($E31/12)+$F31,0)),0)</f>
        <v>0</v>
      </c>
      <c r="K31" s="40">
        <f>IF('CASH FLOW'!$R$2=1,IF($G31=K$5,  ($E31/12)+$F31,  IF(J31&gt;0,($E31/12)+$F31,0)),0)</f>
        <v>0</v>
      </c>
      <c r="L31" s="40">
        <f>IF('CASH FLOW'!$R$2=1,IF($G31=L$5,  ($E31/12)+$F31,  IF(K31&gt;0,($E31/12)+$F31,0)),0)</f>
        <v>0</v>
      </c>
      <c r="M31" s="113">
        <f>IF('CASH FLOW'!$R$2=1,IF($G31=M$5,  ($E31/12)+$F31,  IF(L31&gt;0,($E31/12)+$F31,0)),0)</f>
        <v>0</v>
      </c>
      <c r="N31" s="40">
        <f>IF('CASH FLOW'!$R$2=1,IF($G31=N$5,  ($E31/12)+$F31,  IF(M31&gt;0,($E31/12)+$F31,0)),0)</f>
        <v>0</v>
      </c>
      <c r="O31" s="40">
        <f>IF('CASH FLOW'!$R$2=1,IF($G31=O$5,  ($E31/12)+$F31,  IF(N31&gt;0,($E31/12)+$F31,0)),0)</f>
        <v>0</v>
      </c>
      <c r="P31" s="113">
        <f>IF('CASH FLOW'!$R$2=1,IF($G31=P$5,  ($E31/12)+$F31,  IF(O31&gt;0,($E31/12)+$F31,0)),0)</f>
        <v>0</v>
      </c>
      <c r="Q31" s="40">
        <f>IF('CASH FLOW'!$R$2=1,IF($G31=Q$5,  ($E31/12)+$F31,  IF(P31&gt;0,($E31/12)+$F31,0)),0)</f>
        <v>0</v>
      </c>
      <c r="R31" s="40">
        <f>IF('CASH FLOW'!$R$2=1,IF($G31=R$5,  ($E31/12)+$F31,  IF(Q31&gt;0,($E31/12)+$F31,0)),0)</f>
        <v>0</v>
      </c>
      <c r="S31" s="121">
        <f>IF('CASH FLOW'!$R$2=1,IF($G31=S$5,  ($E31/12)+$F31,  IF(R31&gt;0,($E31/12)+$F31,0)),0)</f>
        <v>0</v>
      </c>
      <c r="T31" s="259">
        <f t="shared" si="24"/>
        <v>0</v>
      </c>
      <c r="U31" s="194">
        <f t="shared" si="18"/>
        <v>85800</v>
      </c>
      <c r="V31" s="259">
        <f t="shared" si="25"/>
        <v>0</v>
      </c>
      <c r="W31" s="194">
        <f t="shared" si="19"/>
        <v>94380.000000000015</v>
      </c>
      <c r="X31" s="259">
        <f t="shared" si="20"/>
        <v>0</v>
      </c>
      <c r="Y31" s="194">
        <f t="shared" si="21"/>
        <v>103818.00000000003</v>
      </c>
      <c r="Z31" s="259">
        <f t="shared" si="22"/>
        <v>0</v>
      </c>
      <c r="AA31" s="194">
        <f t="shared" si="23"/>
        <v>114199.80000000005</v>
      </c>
      <c r="AB31" s="35"/>
      <c r="AC31" s="41"/>
      <c r="AD31" s="41"/>
      <c r="AE31" s="41"/>
      <c r="AF31" s="41"/>
      <c r="AG31" s="41"/>
      <c r="AH31" s="41"/>
      <c r="AI31" s="41"/>
    </row>
    <row r="32" spans="1:35" s="5" customFormat="1">
      <c r="A32" s="466" t="s">
        <v>371</v>
      </c>
      <c r="B32" s="467" t="s">
        <v>357</v>
      </c>
      <c r="C32" s="48"/>
      <c r="D32" s="50" t="s">
        <v>373</v>
      </c>
      <c r="E32" s="53">
        <v>82500</v>
      </c>
      <c r="F32" s="54"/>
      <c r="G32" s="171" t="s">
        <v>67</v>
      </c>
      <c r="H32" s="40">
        <f>IF('CASH FLOW'!$R$2=1,IF($G32=H$5,($E32/12)+$F32,0),0)</f>
        <v>0</v>
      </c>
      <c r="I32" s="40">
        <f>IF('CASH FLOW'!$R$2=1,IF($G32=I$5,  ($E32/12)+$F32,  IF(H32&gt;0,($E32/12)+$F32,0)),0)</f>
        <v>0</v>
      </c>
      <c r="J32" s="113">
        <f>IF('CASH FLOW'!$R$2=1,IF($G32=J$5,  ($E32/12)+$F32,  IF(I32&gt;0,($E32/12)+$F32,0)),0)</f>
        <v>0</v>
      </c>
      <c r="K32" s="40">
        <f>IF('CASH FLOW'!$R$2=1,IF($G32=K$5,  ($E32/12)+$F32,  IF(J32&gt;0,($E32/12)+$F32,0)),0)</f>
        <v>0</v>
      </c>
      <c r="L32" s="40">
        <f>IF('CASH FLOW'!$R$2=1,IF($G32=L$5,  ($E32/12)+$F32,  IF(K32&gt;0,($E32/12)+$F32,0)),0)</f>
        <v>0</v>
      </c>
      <c r="M32" s="113">
        <f>IF('CASH FLOW'!$R$2=1,IF($G32=M$5,  ($E32/12)+$F32,  IF(L32&gt;0,($E32/12)+$F32,0)),0)</f>
        <v>0</v>
      </c>
      <c r="N32" s="40">
        <f>IF('CASH FLOW'!$R$2=1,IF($G32=N$5,  ($E32/12)+$F32,  IF(M32&gt;0,($E32/12)+$F32,0)),0)</f>
        <v>0</v>
      </c>
      <c r="O32" s="40">
        <f>IF('CASH FLOW'!$R$2=1,IF($G32=O$5,  ($E32/12)+$F32,  IF(N32&gt;0,($E32/12)+$F32,0)),0)</f>
        <v>0</v>
      </c>
      <c r="P32" s="113">
        <f>IF('CASH FLOW'!$R$2=1,IF($G32=P$5,  ($E32/12)+$F32,  IF(O32&gt;0,($E32/12)+$F32,0)),0)</f>
        <v>0</v>
      </c>
      <c r="Q32" s="40">
        <f>IF('CASH FLOW'!$R$2=1,IF($G32=Q$5,  ($E32/12)+$F32,  IF(P32&gt;0,($E32/12)+$F32,0)),0)</f>
        <v>0</v>
      </c>
      <c r="R32" s="40">
        <f>IF('CASH FLOW'!$R$2=1,IF($G32=R$5,  ($E32/12)+$F32,  IF(Q32&gt;0,($E32/12)+$F32,0)),0)</f>
        <v>0</v>
      </c>
      <c r="S32" s="121">
        <f>IF('CASH FLOW'!$R$2=1,IF($G32=S$5,  ($E32/12)+$F32,  IF(R32&gt;0,($E32/12)+$F32,0)),0)</f>
        <v>0</v>
      </c>
      <c r="T32" s="259">
        <f t="shared" si="24"/>
        <v>0</v>
      </c>
      <c r="U32" s="194">
        <f t="shared" si="18"/>
        <v>90750.000000000015</v>
      </c>
      <c r="V32" s="259">
        <f t="shared" si="25"/>
        <v>0</v>
      </c>
      <c r="W32" s="194">
        <f t="shared" si="19"/>
        <v>99825.000000000029</v>
      </c>
      <c r="X32" s="259">
        <f t="shared" si="20"/>
        <v>0</v>
      </c>
      <c r="Y32" s="194">
        <f t="shared" si="21"/>
        <v>109807.50000000004</v>
      </c>
      <c r="Z32" s="259">
        <f t="shared" si="22"/>
        <v>0</v>
      </c>
      <c r="AA32" s="194">
        <f t="shared" si="23"/>
        <v>120788.25000000006</v>
      </c>
      <c r="AB32" s="35"/>
      <c r="AC32" s="41"/>
      <c r="AD32" s="41"/>
      <c r="AE32" s="41"/>
      <c r="AF32" s="41"/>
      <c r="AG32" s="41"/>
      <c r="AH32" s="41"/>
      <c r="AI32" s="41"/>
    </row>
    <row r="33" spans="1:35" s="5" customFormat="1">
      <c r="A33" s="466" t="s">
        <v>402</v>
      </c>
      <c r="B33" s="467" t="s">
        <v>358</v>
      </c>
      <c r="C33" s="48"/>
      <c r="D33" s="50" t="s">
        <v>373</v>
      </c>
      <c r="E33" s="53">
        <v>78000</v>
      </c>
      <c r="F33" s="54"/>
      <c r="G33" s="171" t="s">
        <v>67</v>
      </c>
      <c r="H33" s="40">
        <f>IF('CASH FLOW'!$R$2=1,IF($G33=H$5,($E33/12)+$F33,0),0)</f>
        <v>0</v>
      </c>
      <c r="I33" s="40">
        <f>IF('CASH FLOW'!$R$2=1,IF($G33=I$5,  ($E33/12)+$F33,  IF(H33&gt;0,($E33/12)+$F33,0)),0)</f>
        <v>0</v>
      </c>
      <c r="J33" s="113">
        <f>IF('CASH FLOW'!$R$2=1,IF($G33=J$5,  ($E33/12)+$F33,  IF(I33&gt;0,($E33/12)+$F33,0)),0)</f>
        <v>0</v>
      </c>
      <c r="K33" s="40">
        <f>IF('CASH FLOW'!$R$2=1,IF($G33=K$5,  ($E33/12)+$F33,  IF(J33&gt;0,($E33/12)+$F33,0)),0)</f>
        <v>0</v>
      </c>
      <c r="L33" s="40">
        <f>IF('CASH FLOW'!$R$2=1,IF($G33=L$5,  ($E33/12)+$F33,  IF(K33&gt;0,($E33/12)+$F33,0)),0)</f>
        <v>0</v>
      </c>
      <c r="M33" s="113">
        <f>IF('CASH FLOW'!$R$2=1,IF($G33=M$5,  ($E33/12)+$F33,  IF(L33&gt;0,($E33/12)+$F33,0)),0)</f>
        <v>0</v>
      </c>
      <c r="N33" s="40">
        <f>IF('CASH FLOW'!$R$2=1,IF($G33=N$5,  ($E33/12)+$F33,  IF(M33&gt;0,($E33/12)+$F33,0)),0)</f>
        <v>0</v>
      </c>
      <c r="O33" s="40">
        <f>IF('CASH FLOW'!$R$2=1,IF($G33=O$5,  ($E33/12)+$F33,  IF(N33&gt;0,($E33/12)+$F33,0)),0)</f>
        <v>0</v>
      </c>
      <c r="P33" s="113">
        <f>IF('CASH FLOW'!$R$2=1,IF($G33=P$5,  ($E33/12)+$F33,  IF(O33&gt;0,($E33/12)+$F33,0)),0)</f>
        <v>0</v>
      </c>
      <c r="Q33" s="40">
        <f>IF('CASH FLOW'!$R$2=1,IF($G33=Q$5,  ($E33/12)+$F33,  IF(P33&gt;0,($E33/12)+$F33,0)),0)</f>
        <v>0</v>
      </c>
      <c r="R33" s="40">
        <f>IF('CASH FLOW'!$R$2=1,IF($G33=R$5,  ($E33/12)+$F33,  IF(Q33&gt;0,($E33/12)+$F33,0)),0)</f>
        <v>0</v>
      </c>
      <c r="S33" s="121">
        <f>IF('CASH FLOW'!$R$2=1,IF($G33=S$5,  ($E33/12)+$F33,  IF(R33&gt;0,($E33/12)+$F33,0)),0)</f>
        <v>0</v>
      </c>
      <c r="T33" s="259">
        <f t="shared" si="24"/>
        <v>0</v>
      </c>
      <c r="U33" s="194">
        <f t="shared" si="18"/>
        <v>85800</v>
      </c>
      <c r="V33" s="259">
        <f t="shared" si="25"/>
        <v>0</v>
      </c>
      <c r="W33" s="194">
        <f t="shared" si="19"/>
        <v>94380.000000000015</v>
      </c>
      <c r="X33" s="259">
        <f t="shared" si="20"/>
        <v>0</v>
      </c>
      <c r="Y33" s="194">
        <f t="shared" si="21"/>
        <v>103818.00000000003</v>
      </c>
      <c r="Z33" s="259">
        <f t="shared" si="22"/>
        <v>0</v>
      </c>
      <c r="AA33" s="194">
        <f t="shared" si="23"/>
        <v>114199.80000000005</v>
      </c>
      <c r="AB33" s="35"/>
      <c r="AC33" s="41"/>
      <c r="AD33" s="41"/>
      <c r="AE33" s="41"/>
      <c r="AF33" s="41"/>
      <c r="AG33" s="41"/>
      <c r="AH33" s="41"/>
      <c r="AI33" s="41"/>
    </row>
    <row r="34" spans="1:35" s="5" customFormat="1">
      <c r="A34" s="466" t="s">
        <v>372</v>
      </c>
      <c r="B34" s="467" t="s">
        <v>359</v>
      </c>
      <c r="C34" s="48"/>
      <c r="D34" s="50" t="s">
        <v>373</v>
      </c>
      <c r="E34" s="53">
        <v>62400</v>
      </c>
      <c r="F34" s="54"/>
      <c r="G34" s="171" t="s">
        <v>67</v>
      </c>
      <c r="H34" s="40">
        <f>IF('CASH FLOW'!$R$2=1,IF($G34=H$5,($E34/12)+$F34,0),0)</f>
        <v>0</v>
      </c>
      <c r="I34" s="40">
        <f>IF('CASH FLOW'!$R$2=1,IF($G34=I$5,  ($E34/12)+$F34,  IF(H34&gt;0,($E34/12)+$F34,0)),0)</f>
        <v>0</v>
      </c>
      <c r="J34" s="113">
        <f>IF('CASH FLOW'!$R$2=1,IF($G34=J$5,  ($E34/12)+$F34,  IF(I34&gt;0,($E34/12)+$F34,0)),0)</f>
        <v>0</v>
      </c>
      <c r="K34" s="40">
        <f>IF('CASH FLOW'!$R$2=1,IF($G34=K$5,  ($E34/12)+$F34,  IF(J34&gt;0,($E34/12)+$F34,0)),0)</f>
        <v>0</v>
      </c>
      <c r="L34" s="40">
        <f>IF('CASH FLOW'!$R$2=1,IF($G34=L$5,  ($E34/12)+$F34,  IF(K34&gt;0,($E34/12)+$F34,0)),0)</f>
        <v>0</v>
      </c>
      <c r="M34" s="113">
        <f>IF('CASH FLOW'!$R$2=1,IF($G34=M$5,  ($E34/12)+$F34,  IF(L34&gt;0,($E34/12)+$F34,0)),0)</f>
        <v>0</v>
      </c>
      <c r="N34" s="40">
        <f>IF('CASH FLOW'!$R$2=1,IF($G34=N$5,  ($E34/12)+$F34,  IF(M34&gt;0,($E34/12)+$F34,0)),0)</f>
        <v>0</v>
      </c>
      <c r="O34" s="40">
        <f>IF('CASH FLOW'!$R$2=1,IF($G34=O$5,  ($E34/12)+$F34,  IF(N34&gt;0,($E34/12)+$F34,0)),0)</f>
        <v>0</v>
      </c>
      <c r="P34" s="113">
        <f>IF('CASH FLOW'!$R$2=1,IF($G34=P$5,  ($E34/12)+$F34,  IF(O34&gt;0,($E34/12)+$F34,0)),0)</f>
        <v>0</v>
      </c>
      <c r="Q34" s="40">
        <f>IF('CASH FLOW'!$R$2=1,IF($G34=Q$5,  ($E34/12)+$F34,  IF(P34&gt;0,($E34/12)+$F34,0)),0)</f>
        <v>0</v>
      </c>
      <c r="R34" s="40">
        <f>IF('CASH FLOW'!$R$2=1,IF($G34=R$5,  ($E34/12)+$F34,  IF(Q34&gt;0,($E34/12)+$F34,0)),0)</f>
        <v>0</v>
      </c>
      <c r="S34" s="121">
        <f>IF('CASH FLOW'!$R$2=1,IF($G34=S$5,  ($E34/12)+$F34,  IF(R34&gt;0,($E34/12)+$F34,0)),0)</f>
        <v>0</v>
      </c>
      <c r="T34" s="259">
        <f t="shared" si="24"/>
        <v>0</v>
      </c>
      <c r="U34" s="194">
        <f t="shared" si="18"/>
        <v>68640</v>
      </c>
      <c r="V34" s="259">
        <f t="shared" si="25"/>
        <v>0</v>
      </c>
      <c r="W34" s="194">
        <f t="shared" si="19"/>
        <v>75504</v>
      </c>
      <c r="X34" s="259">
        <f t="shared" si="20"/>
        <v>0</v>
      </c>
      <c r="Y34" s="194">
        <f t="shared" si="21"/>
        <v>83054.400000000009</v>
      </c>
      <c r="Z34" s="259">
        <f t="shared" si="22"/>
        <v>0</v>
      </c>
      <c r="AA34" s="194">
        <f t="shared" si="23"/>
        <v>91359.840000000011</v>
      </c>
      <c r="AB34" s="35"/>
      <c r="AC34" s="41"/>
      <c r="AD34" s="41"/>
      <c r="AE34" s="41"/>
      <c r="AF34" s="41"/>
      <c r="AG34" s="41"/>
      <c r="AH34" s="41"/>
      <c r="AI34" s="41"/>
    </row>
    <row r="35" spans="1:35" s="5" customFormat="1">
      <c r="A35" s="466" t="s">
        <v>403</v>
      </c>
      <c r="B35" s="467" t="s">
        <v>360</v>
      </c>
      <c r="C35" s="48"/>
      <c r="D35" s="50" t="s">
        <v>377</v>
      </c>
      <c r="E35" s="53">
        <v>90000</v>
      </c>
      <c r="F35" s="54"/>
      <c r="G35" s="171" t="s">
        <v>67</v>
      </c>
      <c r="H35" s="40">
        <f>IF('CASH FLOW'!$R$2=1,IF($G35=H$5,($E35/12)+$F35,0),0)</f>
        <v>0</v>
      </c>
      <c r="I35" s="40">
        <f>IF('CASH FLOW'!$R$2=1,IF($G35=I$5,  ($E35/12)+$F35,  IF(H35&gt;0,($E35/12)+$F35,0)),0)</f>
        <v>0</v>
      </c>
      <c r="J35" s="113">
        <f>IF('CASH FLOW'!$R$2=1,IF($G35=J$5,  ($E35/12)+$F35,  IF(I35&gt;0,($E35/12)+$F35,0)),0)</f>
        <v>0</v>
      </c>
      <c r="K35" s="40">
        <f>IF('CASH FLOW'!$R$2=1,IF($G35=K$5,  ($E35/12)+$F35,  IF(J35&gt;0,($E35/12)+$F35,0)),0)</f>
        <v>0</v>
      </c>
      <c r="L35" s="40">
        <f>IF('CASH FLOW'!$R$2=1,IF($G35=L$5,  ($E35/12)+$F35,  IF(K35&gt;0,($E35/12)+$F35,0)),0)</f>
        <v>0</v>
      </c>
      <c r="M35" s="113">
        <f>IF('CASH FLOW'!$R$2=1,IF($G35=M$5,  ($E35/12)+$F35,  IF(L35&gt;0,($E35/12)+$F35,0)),0)</f>
        <v>0</v>
      </c>
      <c r="N35" s="40">
        <f>IF('CASH FLOW'!$R$2=1,IF($G35=N$5,  ($E35/12)+$F35,  IF(M35&gt;0,($E35/12)+$F35,0)),0)</f>
        <v>0</v>
      </c>
      <c r="O35" s="40">
        <f>IF('CASH FLOW'!$R$2=1,IF($G35=O$5,  ($E35/12)+$F35,  IF(N35&gt;0,($E35/12)+$F35,0)),0)</f>
        <v>0</v>
      </c>
      <c r="P35" s="113">
        <f>IF('CASH FLOW'!$R$2=1,IF($G35=P$5,  ($E35/12)+$F35,  IF(O35&gt;0,($E35/12)+$F35,0)),0)</f>
        <v>0</v>
      </c>
      <c r="Q35" s="40">
        <f>IF('CASH FLOW'!$R$2=1,IF($G35=Q$5,  ($E35/12)+$F35,  IF(P35&gt;0,($E35/12)+$F35,0)),0)</f>
        <v>0</v>
      </c>
      <c r="R35" s="40">
        <f>IF('CASH FLOW'!$R$2=1,IF($G35=R$5,  ($E35/12)+$F35,  IF(Q35&gt;0,($E35/12)+$F35,0)),0)</f>
        <v>0</v>
      </c>
      <c r="S35" s="121">
        <f>IF('CASH FLOW'!$R$2=1,IF($G35=S$5,  ($E35/12)+$F35,  IF(R35&gt;0,($E35/12)+$F35,0)),0)</f>
        <v>0</v>
      </c>
      <c r="T35" s="259">
        <f t="shared" si="24"/>
        <v>0</v>
      </c>
      <c r="U35" s="194">
        <f t="shared" si="18"/>
        <v>99000.000000000015</v>
      </c>
      <c r="V35" s="259">
        <f t="shared" si="25"/>
        <v>0</v>
      </c>
      <c r="W35" s="194">
        <f t="shared" si="19"/>
        <v>108900.00000000003</v>
      </c>
      <c r="X35" s="259">
        <f t="shared" si="20"/>
        <v>0</v>
      </c>
      <c r="Y35" s="194">
        <f t="shared" si="21"/>
        <v>119790.00000000004</v>
      </c>
      <c r="Z35" s="259">
        <f t="shared" si="22"/>
        <v>0</v>
      </c>
      <c r="AA35" s="194">
        <f t="shared" si="23"/>
        <v>131769.00000000006</v>
      </c>
      <c r="AB35" s="35"/>
      <c r="AC35" s="41"/>
      <c r="AD35" s="41"/>
      <c r="AE35" s="41"/>
      <c r="AF35" s="41"/>
      <c r="AG35" s="41"/>
      <c r="AH35" s="41"/>
      <c r="AI35" s="41"/>
    </row>
    <row r="36" spans="1:35" s="5" customFormat="1">
      <c r="A36" s="466" t="s">
        <v>404</v>
      </c>
      <c r="B36" s="467" t="s">
        <v>361</v>
      </c>
      <c r="C36" s="48"/>
      <c r="D36" s="50" t="s">
        <v>376</v>
      </c>
      <c r="E36" s="53">
        <v>80000</v>
      </c>
      <c r="F36" s="54"/>
      <c r="G36" s="171" t="s">
        <v>67</v>
      </c>
      <c r="H36" s="40">
        <f>IF('CASH FLOW'!$R$2=1,IF($G36=H$5,($E36/12)+$F36,0),0)</f>
        <v>0</v>
      </c>
      <c r="I36" s="40">
        <f>IF('CASH FLOW'!$R$2=1,IF($G36=I$5,  ($E36/12)+$F36,  IF(H36&gt;0,($E36/12)+$F36,0)),0)</f>
        <v>0</v>
      </c>
      <c r="J36" s="113">
        <f>IF('CASH FLOW'!$R$2=1,IF($G36=J$5,  ($E36/12)+$F36,  IF(I36&gt;0,($E36/12)+$F36,0)),0)</f>
        <v>0</v>
      </c>
      <c r="K36" s="40">
        <f>IF('CASH FLOW'!$R$2=1,IF($G36=K$5,  ($E36/12)+$F36,  IF(J36&gt;0,($E36/12)+$F36,0)),0)</f>
        <v>0</v>
      </c>
      <c r="L36" s="40">
        <f>IF('CASH FLOW'!$R$2=1,IF($G36=L$5,  ($E36/12)+$F36,  IF(K36&gt;0,($E36/12)+$F36,0)),0)</f>
        <v>0</v>
      </c>
      <c r="M36" s="113">
        <f>IF('CASH FLOW'!$R$2=1,IF($G36=M$5,  ($E36/12)+$F36,  IF(L36&gt;0,($E36/12)+$F36,0)),0)</f>
        <v>0</v>
      </c>
      <c r="N36" s="40">
        <f>IF('CASH FLOW'!$R$2=1,IF($G36=N$5,  ($E36/12)+$F36,  IF(M36&gt;0,($E36/12)+$F36,0)),0)</f>
        <v>0</v>
      </c>
      <c r="O36" s="40">
        <f>IF('CASH FLOW'!$R$2=1,IF($G36=O$5,  ($E36/12)+$F36,  IF(N36&gt;0,($E36/12)+$F36,0)),0)</f>
        <v>0</v>
      </c>
      <c r="P36" s="113">
        <f>IF('CASH FLOW'!$R$2=1,IF($G36=P$5,  ($E36/12)+$F36,  IF(O36&gt;0,($E36/12)+$F36,0)),0)</f>
        <v>0</v>
      </c>
      <c r="Q36" s="40">
        <f>IF('CASH FLOW'!$R$2=1,IF($G36=Q$5,  ($E36/12)+$F36,  IF(P36&gt;0,($E36/12)+$F36,0)),0)</f>
        <v>0</v>
      </c>
      <c r="R36" s="40">
        <f>IF('CASH FLOW'!$R$2=1,IF($G36=R$5,  ($E36/12)+$F36,  IF(Q36&gt;0,($E36/12)+$F36,0)),0)</f>
        <v>0</v>
      </c>
      <c r="S36" s="121">
        <f>IF('CASH FLOW'!$R$2=1,IF($G36=S$5,  ($E36/12)+$F36,  IF(R36&gt;0,($E36/12)+$F36,0)),0)</f>
        <v>0</v>
      </c>
      <c r="T36" s="259">
        <f t="shared" si="24"/>
        <v>0</v>
      </c>
      <c r="U36" s="194">
        <f t="shared" si="18"/>
        <v>88000</v>
      </c>
      <c r="V36" s="259">
        <f t="shared" si="25"/>
        <v>0</v>
      </c>
      <c r="W36" s="194">
        <f t="shared" si="19"/>
        <v>96800.000000000015</v>
      </c>
      <c r="X36" s="259">
        <f t="shared" si="20"/>
        <v>0</v>
      </c>
      <c r="Y36" s="194">
        <f t="shared" si="21"/>
        <v>106480.00000000003</v>
      </c>
      <c r="Z36" s="259">
        <f t="shared" si="22"/>
        <v>0</v>
      </c>
      <c r="AA36" s="194">
        <f t="shared" si="23"/>
        <v>117128.00000000004</v>
      </c>
      <c r="AB36" s="35"/>
      <c r="AC36" s="41"/>
      <c r="AD36" s="41"/>
      <c r="AE36" s="41"/>
      <c r="AF36" s="41"/>
      <c r="AG36" s="41"/>
      <c r="AH36" s="41"/>
      <c r="AI36" s="41"/>
    </row>
    <row r="37" spans="1:35" s="5" customFormat="1">
      <c r="A37" s="466" t="s">
        <v>178</v>
      </c>
      <c r="B37" s="467" t="s">
        <v>362</v>
      </c>
      <c r="C37" s="48"/>
      <c r="D37" s="50" t="s">
        <v>376</v>
      </c>
      <c r="E37" s="53">
        <v>150000</v>
      </c>
      <c r="F37" s="54"/>
      <c r="G37" s="171" t="s">
        <v>67</v>
      </c>
      <c r="H37" s="40">
        <f>IF('CASH FLOW'!$R$2=1,IF($G37=H$5,($E37/12)+$F37,0),0)</f>
        <v>0</v>
      </c>
      <c r="I37" s="40">
        <f>IF('CASH FLOW'!$R$2=1,IF($G37=I$5,  ($E37/12)+$F37,  IF(H37&gt;0,($E37/12)+$F37,0)),0)</f>
        <v>0</v>
      </c>
      <c r="J37" s="113">
        <f>IF('CASH FLOW'!$R$2=1,IF($G37=J$5,  ($E37/12)+$F37,  IF(I37&gt;0,($E37/12)+$F37,0)),0)</f>
        <v>0</v>
      </c>
      <c r="K37" s="40">
        <f>IF('CASH FLOW'!$R$2=1,IF($G37=K$5,  ($E37/12)+$F37,  IF(J37&gt;0,($E37/12)+$F37,0)),0)</f>
        <v>0</v>
      </c>
      <c r="L37" s="40">
        <f>IF('CASH FLOW'!$R$2=1,IF($G37=L$5,  ($E37/12)+$F37,  IF(K37&gt;0,($E37/12)+$F37,0)),0)</f>
        <v>0</v>
      </c>
      <c r="M37" s="113">
        <f>IF('CASH FLOW'!$R$2=1,IF($G37=M$5,  ($E37/12)+$F37,  IF(L37&gt;0,($E37/12)+$F37,0)),0)</f>
        <v>0</v>
      </c>
      <c r="N37" s="40">
        <f>IF('CASH FLOW'!$R$2=1,IF($G37=N$5,  ($E37/12)+$F37,  IF(M37&gt;0,($E37/12)+$F37,0)),0)</f>
        <v>0</v>
      </c>
      <c r="O37" s="40">
        <f>IF('CASH FLOW'!$R$2=1,IF($G37=O$5,  ($E37/12)+$F37,  IF(N37&gt;0,($E37/12)+$F37,0)),0)</f>
        <v>0</v>
      </c>
      <c r="P37" s="113">
        <f>IF('CASH FLOW'!$R$2=1,IF($G37=P$5,  ($E37/12)+$F37,  IF(O37&gt;0,($E37/12)+$F37,0)),0)</f>
        <v>0</v>
      </c>
      <c r="Q37" s="40">
        <f>IF('CASH FLOW'!$R$2=1,IF($G37=Q$5,  ($E37/12)+$F37,  IF(P37&gt;0,($E37/12)+$F37,0)),0)</f>
        <v>0</v>
      </c>
      <c r="R37" s="40">
        <f>IF('CASH FLOW'!$R$2=1,IF($G37=R$5,  ($E37/12)+$F37,  IF(Q37&gt;0,($E37/12)+$F37,0)),0)</f>
        <v>0</v>
      </c>
      <c r="S37" s="121">
        <f>IF('CASH FLOW'!$R$2=1,IF($G37=S$5,  ($E37/12)+$F37,  IF(R37&gt;0,($E37/12)+$F37,0)),0)</f>
        <v>0</v>
      </c>
      <c r="T37" s="259">
        <f t="shared" si="24"/>
        <v>0</v>
      </c>
      <c r="U37" s="194">
        <f t="shared" si="18"/>
        <v>165000</v>
      </c>
      <c r="V37" s="259">
        <f t="shared" si="25"/>
        <v>0</v>
      </c>
      <c r="W37" s="194">
        <f t="shared" si="19"/>
        <v>181500.00000000003</v>
      </c>
      <c r="X37" s="259">
        <f t="shared" si="20"/>
        <v>0</v>
      </c>
      <c r="Y37" s="194">
        <f t="shared" si="21"/>
        <v>199650.00000000006</v>
      </c>
      <c r="Z37" s="259">
        <f t="shared" si="22"/>
        <v>0</v>
      </c>
      <c r="AA37" s="194">
        <f t="shared" si="23"/>
        <v>219615.00000000009</v>
      </c>
      <c r="AB37" s="35"/>
      <c r="AC37" s="41"/>
      <c r="AD37" s="41"/>
      <c r="AE37" s="41"/>
      <c r="AF37" s="41"/>
      <c r="AG37" s="41"/>
      <c r="AH37" s="41"/>
      <c r="AI37" s="41"/>
    </row>
    <row r="38" spans="1:35" s="5" customFormat="1">
      <c r="A38" s="466" t="s">
        <v>401</v>
      </c>
      <c r="B38" s="467" t="s">
        <v>363</v>
      </c>
      <c r="C38" s="48"/>
      <c r="D38" s="50" t="s">
        <v>373</v>
      </c>
      <c r="E38" s="53">
        <v>175000</v>
      </c>
      <c r="F38" s="54"/>
      <c r="G38" s="171" t="s">
        <v>67</v>
      </c>
      <c r="H38" s="40">
        <f>IF('CASH FLOW'!$R$2=1,IF($G38=H$5,($E38/12)+$F38,0),0)</f>
        <v>0</v>
      </c>
      <c r="I38" s="40">
        <f>IF('CASH FLOW'!$R$2=1,IF($G38=I$5,  ($E38/12)+$F38,  IF(H38&gt;0,($E38/12)+$F38,0)),0)</f>
        <v>0</v>
      </c>
      <c r="J38" s="113">
        <f>IF('CASH FLOW'!$R$2=1,IF($G38=J$5,  ($E38/12)+$F38,  IF(I38&gt;0,($E38/12)+$F38,0)),0)</f>
        <v>0</v>
      </c>
      <c r="K38" s="40">
        <f>IF('CASH FLOW'!$R$2=1,IF($G38=K$5,  ($E38/12)+$F38,  IF(J38&gt;0,($E38/12)+$F38,0)),0)</f>
        <v>0</v>
      </c>
      <c r="L38" s="40">
        <f>IF('CASH FLOW'!$R$2=1,IF($G38=L$5,  ($E38/12)+$F38,  IF(K38&gt;0,($E38/12)+$F38,0)),0)</f>
        <v>0</v>
      </c>
      <c r="M38" s="113">
        <f>IF('CASH FLOW'!$R$2=1,IF($G38=M$5,  ($E38/12)+$F38,  IF(L38&gt;0,($E38/12)+$F38,0)),0)</f>
        <v>0</v>
      </c>
      <c r="N38" s="40">
        <f>IF('CASH FLOW'!$R$2=1,IF($G38=N$5,  ($E38/12)+$F38,  IF(M38&gt;0,($E38/12)+$F38,0)),0)</f>
        <v>0</v>
      </c>
      <c r="O38" s="40">
        <f>IF('CASH FLOW'!$R$2=1,IF($G38=O$5,  ($E38/12)+$F38,  IF(N38&gt;0,($E38/12)+$F38,0)),0)</f>
        <v>0</v>
      </c>
      <c r="P38" s="113">
        <f>IF('CASH FLOW'!$R$2=1,IF($G38=P$5,  ($E38/12)+$F38,  IF(O38&gt;0,($E38/12)+$F38,0)),0)</f>
        <v>0</v>
      </c>
      <c r="Q38" s="40">
        <f>IF('CASH FLOW'!$R$2=1,IF($G38=Q$5,  ($E38/12)+$F38,  IF(P38&gt;0,($E38/12)+$F38,0)),0)</f>
        <v>0</v>
      </c>
      <c r="R38" s="40">
        <f>IF('CASH FLOW'!$R$2=1,IF($G38=R$5,  ($E38/12)+$F38,  IF(Q38&gt;0,($E38/12)+$F38,0)),0)</f>
        <v>0</v>
      </c>
      <c r="S38" s="121">
        <f>IF('CASH FLOW'!$R$2=1,IF($G38=S$5,  ($E38/12)+$F38,  IF(R38&gt;0,($E38/12)+$F38,0)),0)</f>
        <v>0</v>
      </c>
      <c r="T38" s="259">
        <f t="shared" si="24"/>
        <v>0</v>
      </c>
      <c r="U38" s="194">
        <f t="shared" si="18"/>
        <v>192500.00000000003</v>
      </c>
      <c r="V38" s="259">
        <f t="shared" si="25"/>
        <v>0</v>
      </c>
      <c r="W38" s="194">
        <f t="shared" si="19"/>
        <v>211750.00000000006</v>
      </c>
      <c r="X38" s="259">
        <f t="shared" si="20"/>
        <v>0</v>
      </c>
      <c r="Y38" s="194">
        <f t="shared" si="21"/>
        <v>232925.00000000009</v>
      </c>
      <c r="Z38" s="259">
        <f t="shared" si="22"/>
        <v>0</v>
      </c>
      <c r="AA38" s="194">
        <f t="shared" si="23"/>
        <v>256217.50000000012</v>
      </c>
      <c r="AB38" s="35"/>
      <c r="AC38" s="41"/>
      <c r="AD38" s="41"/>
      <c r="AE38" s="41"/>
      <c r="AF38" s="41"/>
      <c r="AG38" s="41"/>
      <c r="AH38" s="41"/>
      <c r="AI38" s="41"/>
    </row>
    <row r="39" spans="1:35" s="5" customFormat="1">
      <c r="A39" s="466" t="s">
        <v>388</v>
      </c>
      <c r="B39" s="467" t="s">
        <v>364</v>
      </c>
      <c r="C39" s="48"/>
      <c r="D39" s="50" t="s">
        <v>373</v>
      </c>
      <c r="E39" s="53">
        <v>140000</v>
      </c>
      <c r="F39" s="54"/>
      <c r="G39" s="171" t="s">
        <v>67</v>
      </c>
      <c r="H39" s="40">
        <f>IF('CASH FLOW'!$R$2=1,IF($G39=H$5,($E39/12)+$F39,0),0)</f>
        <v>0</v>
      </c>
      <c r="I39" s="40">
        <f>IF('CASH FLOW'!$R$2=1,IF($G39=I$5,  ($E39/12)+$F39,  IF(H39&gt;0,($E39/12)+$F39,0)),0)</f>
        <v>0</v>
      </c>
      <c r="J39" s="113">
        <f>IF('CASH FLOW'!$R$2=1,IF($G39=J$5,  ($E39/12)+$F39,  IF(I39&gt;0,($E39/12)+$F39,0)),0)</f>
        <v>0</v>
      </c>
      <c r="K39" s="40">
        <f>IF('CASH FLOW'!$R$2=1,IF($G39=K$5,  ($E39/12)+$F39,  IF(J39&gt;0,($E39/12)+$F39,0)),0)</f>
        <v>0</v>
      </c>
      <c r="L39" s="40">
        <f>IF('CASH FLOW'!$R$2=1,IF($G39=L$5,  ($E39/12)+$F39,  IF(K39&gt;0,($E39/12)+$F39,0)),0)</f>
        <v>0</v>
      </c>
      <c r="M39" s="113">
        <f>IF('CASH FLOW'!$R$2=1,IF($G39=M$5,  ($E39/12)+$F39,  IF(L39&gt;0,($E39/12)+$F39,0)),0)</f>
        <v>0</v>
      </c>
      <c r="N39" s="40">
        <f>IF('CASH FLOW'!$R$2=1,IF($G39=N$5,  ($E39/12)+$F39,  IF(M39&gt;0,($E39/12)+$F39,0)),0)</f>
        <v>0</v>
      </c>
      <c r="O39" s="40">
        <f>IF('CASH FLOW'!$R$2=1,IF($G39=O$5,  ($E39/12)+$F39,  IF(N39&gt;0,($E39/12)+$F39,0)),0)</f>
        <v>0</v>
      </c>
      <c r="P39" s="113">
        <f>IF('CASH FLOW'!$R$2=1,IF($G39=P$5,  ($E39/12)+$F39,  IF(O39&gt;0,($E39/12)+$F39,0)),0)</f>
        <v>0</v>
      </c>
      <c r="Q39" s="40">
        <f>IF('CASH FLOW'!$R$2=1,IF($G39=Q$5,  ($E39/12)+$F39,  IF(P39&gt;0,($E39/12)+$F39,0)),0)</f>
        <v>0</v>
      </c>
      <c r="R39" s="40">
        <f>IF('CASH FLOW'!$R$2=1,IF($G39=R$5,  ($E39/12)+$F39,  IF(Q39&gt;0,($E39/12)+$F39,0)),0)</f>
        <v>0</v>
      </c>
      <c r="S39" s="121">
        <f>IF('CASH FLOW'!$R$2=1,IF($G39=S$5,  ($E39/12)+$F39,  IF(R39&gt;0,($E39/12)+$F39,0)),0)</f>
        <v>0</v>
      </c>
      <c r="T39" s="259">
        <f t="shared" si="24"/>
        <v>0</v>
      </c>
      <c r="U39" s="194">
        <f t="shared" si="18"/>
        <v>154000</v>
      </c>
      <c r="V39" s="259">
        <f t="shared" si="25"/>
        <v>0</v>
      </c>
      <c r="W39" s="194">
        <f t="shared" si="19"/>
        <v>169400</v>
      </c>
      <c r="X39" s="259">
        <f t="shared" si="20"/>
        <v>0</v>
      </c>
      <c r="Y39" s="194">
        <f t="shared" si="21"/>
        <v>186340.00000000003</v>
      </c>
      <c r="Z39" s="259">
        <f t="shared" si="22"/>
        <v>0</v>
      </c>
      <c r="AA39" s="194">
        <f t="shared" si="23"/>
        <v>204974.00000000006</v>
      </c>
      <c r="AB39" s="35"/>
      <c r="AC39" s="41"/>
      <c r="AD39" s="41"/>
      <c r="AE39" s="41"/>
      <c r="AF39" s="41"/>
      <c r="AG39" s="41"/>
      <c r="AH39" s="41"/>
      <c r="AI39" s="41"/>
    </row>
    <row r="40" spans="1:35" s="5" customFormat="1">
      <c r="A40" s="466"/>
      <c r="B40" s="467"/>
      <c r="C40" s="48"/>
      <c r="D40" s="50"/>
      <c r="E40" s="53"/>
      <c r="F40" s="54"/>
      <c r="G40" s="171"/>
      <c r="H40" s="40"/>
      <c r="I40" s="40"/>
      <c r="J40" s="113"/>
      <c r="K40" s="40"/>
      <c r="L40" s="40"/>
      <c r="M40" s="113"/>
      <c r="N40" s="40"/>
      <c r="O40" s="40"/>
      <c r="P40" s="113"/>
      <c r="Q40" s="40"/>
      <c r="R40" s="40"/>
      <c r="S40" s="121"/>
      <c r="T40" s="259"/>
      <c r="U40" s="194"/>
      <c r="V40" s="259"/>
      <c r="W40" s="194"/>
      <c r="X40" s="259"/>
      <c r="Y40" s="194"/>
      <c r="Z40" s="259"/>
      <c r="AA40" s="194"/>
      <c r="AB40" s="35"/>
      <c r="AC40" s="41"/>
      <c r="AD40" s="41"/>
      <c r="AE40" s="41"/>
      <c r="AF40" s="41"/>
      <c r="AG40" s="41"/>
      <c r="AH40" s="41"/>
      <c r="AI40" s="41"/>
    </row>
    <row r="41" spans="1:35" s="5" customFormat="1">
      <c r="A41" s="467"/>
      <c r="B41" s="467"/>
      <c r="C41" s="48"/>
      <c r="D41" s="50"/>
      <c r="E41" s="53"/>
      <c r="F41" s="54"/>
      <c r="G41" s="171"/>
      <c r="H41" s="40"/>
      <c r="I41" s="40"/>
      <c r="J41" s="113"/>
      <c r="K41" s="40"/>
      <c r="L41" s="40"/>
      <c r="M41" s="113"/>
      <c r="N41" s="40"/>
      <c r="O41" s="40"/>
      <c r="P41" s="113"/>
      <c r="Q41" s="40"/>
      <c r="R41" s="40"/>
      <c r="S41" s="121"/>
      <c r="T41" s="259"/>
      <c r="U41" s="194"/>
      <c r="V41" s="259"/>
      <c r="W41" s="194"/>
      <c r="X41" s="259"/>
      <c r="Y41" s="194"/>
      <c r="Z41" s="259"/>
      <c r="AA41" s="194"/>
      <c r="AB41" s="35"/>
      <c r="AC41" s="41"/>
      <c r="AD41" s="41"/>
      <c r="AE41" s="41"/>
      <c r="AF41" s="41"/>
      <c r="AG41" s="41"/>
      <c r="AH41" s="41"/>
      <c r="AI41" s="41"/>
    </row>
    <row r="42" spans="1:35" s="5" customFormat="1">
      <c r="A42" s="372" t="s">
        <v>346</v>
      </c>
      <c r="B42" s="333"/>
      <c r="C42" s="48"/>
      <c r="D42" s="50"/>
      <c r="E42" s="53"/>
      <c r="F42" s="54"/>
      <c r="G42" s="171"/>
      <c r="H42" s="40"/>
      <c r="I42" s="40"/>
      <c r="J42" s="113"/>
      <c r="K42" s="40"/>
      <c r="L42" s="40"/>
      <c r="M42" s="113"/>
      <c r="N42" s="40"/>
      <c r="O42" s="40"/>
      <c r="P42" s="113"/>
      <c r="Q42" s="40"/>
      <c r="R42" s="40"/>
      <c r="S42" s="121"/>
      <c r="T42" s="259"/>
      <c r="U42" s="194"/>
      <c r="V42" s="259"/>
      <c r="W42" s="194"/>
      <c r="X42" s="259"/>
      <c r="Y42" s="194"/>
      <c r="Z42" s="259"/>
      <c r="AA42" s="194"/>
      <c r="AB42" s="35"/>
      <c r="AC42" s="41"/>
      <c r="AD42" s="41"/>
      <c r="AE42" s="41"/>
      <c r="AF42" s="41"/>
      <c r="AG42" s="41"/>
      <c r="AH42" s="41"/>
      <c r="AI42" s="41"/>
    </row>
    <row r="43" spans="1:35" s="5" customFormat="1">
      <c r="A43" s="371" t="s">
        <v>216</v>
      </c>
      <c r="B43" s="495" t="s">
        <v>409</v>
      </c>
      <c r="C43" s="48"/>
      <c r="D43" s="50" t="s">
        <v>83</v>
      </c>
      <c r="E43" s="53">
        <v>60000</v>
      </c>
      <c r="F43" s="54">
        <v>0</v>
      </c>
      <c r="G43" s="171" t="s">
        <v>62</v>
      </c>
      <c r="H43" s="40">
        <f t="shared" ref="H43:H53" si="26">IF($G43=H$5,($E43/12)+$F43,0)</f>
        <v>0</v>
      </c>
      <c r="I43" s="40">
        <f t="shared" ref="I43:S43" si="27">IF($G43=I$5,  ($E43/12)+$F43,  IF(H43&gt;0,($E43/12)+$F43,0))</f>
        <v>0</v>
      </c>
      <c r="J43" s="113">
        <f t="shared" si="27"/>
        <v>0</v>
      </c>
      <c r="K43" s="40">
        <f t="shared" si="27"/>
        <v>0</v>
      </c>
      <c r="L43" s="40">
        <f t="shared" si="27"/>
        <v>0</v>
      </c>
      <c r="M43" s="113">
        <f t="shared" si="27"/>
        <v>0</v>
      </c>
      <c r="N43" s="40">
        <f t="shared" si="27"/>
        <v>5000</v>
      </c>
      <c r="O43" s="40">
        <f t="shared" si="27"/>
        <v>5000</v>
      </c>
      <c r="P43" s="113">
        <f t="shared" si="27"/>
        <v>5000</v>
      </c>
      <c r="Q43" s="40">
        <f t="shared" si="27"/>
        <v>5000</v>
      </c>
      <c r="R43" s="40">
        <f t="shared" si="27"/>
        <v>5000</v>
      </c>
      <c r="S43" s="121">
        <f t="shared" si="27"/>
        <v>5000</v>
      </c>
      <c r="T43" s="259">
        <v>1</v>
      </c>
      <c r="U43" s="194">
        <f>E43*1.1</f>
        <v>66000</v>
      </c>
      <c r="V43" s="259">
        <v>1</v>
      </c>
      <c r="W43" s="194">
        <f>U43*1.1</f>
        <v>72600</v>
      </c>
      <c r="X43" s="259">
        <v>1</v>
      </c>
      <c r="Y43" s="194">
        <f>W43*1.1</f>
        <v>79860</v>
      </c>
      <c r="Z43" s="259">
        <v>1</v>
      </c>
      <c r="AA43" s="194">
        <f>Y43*1.1</f>
        <v>87846</v>
      </c>
      <c r="AB43" s="35"/>
      <c r="AC43" s="41"/>
      <c r="AD43" s="41"/>
      <c r="AE43" s="41"/>
      <c r="AF43" s="41"/>
      <c r="AG43" s="41"/>
      <c r="AH43" s="41"/>
      <c r="AI43" s="41"/>
    </row>
    <row r="44" spans="1:35" s="41" customFormat="1">
      <c r="A44" s="371" t="s">
        <v>216</v>
      </c>
      <c r="B44" s="48"/>
      <c r="C44" s="48"/>
      <c r="D44" s="50" t="s">
        <v>83</v>
      </c>
      <c r="E44" s="53">
        <v>60000</v>
      </c>
      <c r="F44" s="54">
        <v>0</v>
      </c>
      <c r="G44" s="171" t="s">
        <v>136</v>
      </c>
      <c r="H44" s="40">
        <f t="shared" si="26"/>
        <v>0</v>
      </c>
      <c r="I44" s="40">
        <f t="shared" ref="I44:S44" si="28">IF($G44=I$5,  ($E44/12)+$F44,  IF(H44&gt;0,($E44/12)+$F44,0))</f>
        <v>0</v>
      </c>
      <c r="J44" s="113">
        <f t="shared" si="28"/>
        <v>0</v>
      </c>
      <c r="K44" s="40">
        <f t="shared" si="28"/>
        <v>0</v>
      </c>
      <c r="L44" s="40">
        <f t="shared" si="28"/>
        <v>0</v>
      </c>
      <c r="M44" s="113">
        <f t="shared" si="28"/>
        <v>0</v>
      </c>
      <c r="N44" s="40">
        <f t="shared" si="28"/>
        <v>0</v>
      </c>
      <c r="O44" s="40">
        <f t="shared" si="28"/>
        <v>0</v>
      </c>
      <c r="P44" s="113">
        <f t="shared" si="28"/>
        <v>0</v>
      </c>
      <c r="Q44" s="40">
        <f t="shared" si="28"/>
        <v>0</v>
      </c>
      <c r="R44" s="40">
        <f t="shared" si="28"/>
        <v>0</v>
      </c>
      <c r="S44" s="121">
        <f t="shared" si="28"/>
        <v>0</v>
      </c>
      <c r="T44" s="259">
        <v>2</v>
      </c>
      <c r="U44" s="194">
        <f t="shared" si="18"/>
        <v>66000</v>
      </c>
      <c r="V44" s="259">
        <v>4</v>
      </c>
      <c r="W44" s="194">
        <f t="shared" si="19"/>
        <v>72600</v>
      </c>
      <c r="X44" s="259">
        <v>6</v>
      </c>
      <c r="Y44" s="194">
        <f t="shared" si="21"/>
        <v>79860</v>
      </c>
      <c r="Z44" s="259">
        <v>10</v>
      </c>
      <c r="AA44" s="194">
        <f t="shared" si="23"/>
        <v>87846</v>
      </c>
      <c r="AB44" s="35"/>
    </row>
    <row r="45" spans="1:35" s="41" customFormat="1">
      <c r="A45" s="371" t="s">
        <v>326</v>
      </c>
      <c r="B45" s="48" t="s">
        <v>38</v>
      </c>
      <c r="C45" s="48" t="s">
        <v>342</v>
      </c>
      <c r="D45" s="50" t="s">
        <v>83</v>
      </c>
      <c r="E45" s="53">
        <v>85000</v>
      </c>
      <c r="F45" s="54">
        <v>0</v>
      </c>
      <c r="G45" s="171" t="s">
        <v>67</v>
      </c>
      <c r="H45" s="40">
        <f t="shared" si="26"/>
        <v>7083.333333333333</v>
      </c>
      <c r="I45" s="40">
        <f t="shared" ref="I45:S45" si="29">IF($G45=I$5,  ($E45/12)+$F45,  IF(H45&gt;0,($E45/12)+$F45,0))</f>
        <v>7083.333333333333</v>
      </c>
      <c r="J45" s="113">
        <f t="shared" si="29"/>
        <v>7083.333333333333</v>
      </c>
      <c r="K45" s="40">
        <f t="shared" si="29"/>
        <v>7083.333333333333</v>
      </c>
      <c r="L45" s="40">
        <f t="shared" si="29"/>
        <v>7083.333333333333</v>
      </c>
      <c r="M45" s="113">
        <f t="shared" si="29"/>
        <v>7083.333333333333</v>
      </c>
      <c r="N45" s="40">
        <f t="shared" si="29"/>
        <v>7083.333333333333</v>
      </c>
      <c r="O45" s="40">
        <f t="shared" si="29"/>
        <v>7083.333333333333</v>
      </c>
      <c r="P45" s="113">
        <f t="shared" si="29"/>
        <v>7083.333333333333</v>
      </c>
      <c r="Q45" s="40">
        <f t="shared" si="29"/>
        <v>7083.333333333333</v>
      </c>
      <c r="R45" s="40">
        <f t="shared" si="29"/>
        <v>7083.333333333333</v>
      </c>
      <c r="S45" s="121">
        <f t="shared" si="29"/>
        <v>7083.333333333333</v>
      </c>
      <c r="T45" s="259">
        <v>2</v>
      </c>
      <c r="U45" s="194">
        <f t="shared" si="18"/>
        <v>93500.000000000015</v>
      </c>
      <c r="V45" s="259">
        <v>3</v>
      </c>
      <c r="W45" s="194">
        <f t="shared" si="19"/>
        <v>102850.00000000003</v>
      </c>
      <c r="X45" s="259">
        <v>4</v>
      </c>
      <c r="Y45" s="194">
        <f t="shared" si="21"/>
        <v>113135.00000000004</v>
      </c>
      <c r="Z45" s="259">
        <v>5</v>
      </c>
      <c r="AA45" s="194">
        <f t="shared" si="23"/>
        <v>124448.50000000006</v>
      </c>
      <c r="AB45" s="35"/>
    </row>
    <row r="46" spans="1:35" s="41" customFormat="1">
      <c r="A46" s="371" t="s">
        <v>35</v>
      </c>
      <c r="B46" s="48"/>
      <c r="C46" s="48"/>
      <c r="D46" s="50" t="s">
        <v>83</v>
      </c>
      <c r="E46" s="53">
        <v>105000</v>
      </c>
      <c r="F46" s="54">
        <v>0</v>
      </c>
      <c r="G46" s="171" t="s">
        <v>136</v>
      </c>
      <c r="H46" s="40">
        <f t="shared" si="26"/>
        <v>0</v>
      </c>
      <c r="I46" s="40">
        <f t="shared" ref="I46:S46" si="30">IF($G46=I$5,  ($E46/12)+$F46,  IF(H46&gt;0,($E46/12)+$F46,0))</f>
        <v>0</v>
      </c>
      <c r="J46" s="113">
        <f t="shared" si="30"/>
        <v>0</v>
      </c>
      <c r="K46" s="40">
        <f t="shared" si="30"/>
        <v>0</v>
      </c>
      <c r="L46" s="40">
        <f t="shared" si="30"/>
        <v>0</v>
      </c>
      <c r="M46" s="113">
        <f t="shared" si="30"/>
        <v>0</v>
      </c>
      <c r="N46" s="40">
        <f t="shared" si="30"/>
        <v>0</v>
      </c>
      <c r="O46" s="40">
        <f t="shared" si="30"/>
        <v>0</v>
      </c>
      <c r="P46" s="113">
        <f t="shared" si="30"/>
        <v>0</v>
      </c>
      <c r="Q46" s="40">
        <f t="shared" si="30"/>
        <v>0</v>
      </c>
      <c r="R46" s="40">
        <f t="shared" si="30"/>
        <v>0</v>
      </c>
      <c r="S46" s="121">
        <f t="shared" si="30"/>
        <v>0</v>
      </c>
      <c r="T46" s="259">
        <v>2</v>
      </c>
      <c r="U46" s="194">
        <f t="shared" si="18"/>
        <v>115500.00000000001</v>
      </c>
      <c r="V46" s="259">
        <v>4</v>
      </c>
      <c r="W46" s="194">
        <f t="shared" si="19"/>
        <v>127050.00000000003</v>
      </c>
      <c r="X46" s="259">
        <v>5</v>
      </c>
      <c r="Y46" s="194">
        <f t="shared" si="21"/>
        <v>139755.00000000003</v>
      </c>
      <c r="Z46" s="259">
        <v>6</v>
      </c>
      <c r="AA46" s="194">
        <f t="shared" si="23"/>
        <v>153730.50000000006</v>
      </c>
      <c r="AB46" s="35"/>
    </row>
    <row r="47" spans="1:35" s="5" customFormat="1">
      <c r="A47" s="371" t="s">
        <v>35</v>
      </c>
      <c r="B47" s="48"/>
      <c r="C47" s="48"/>
      <c r="D47" s="50" t="s">
        <v>83</v>
      </c>
      <c r="E47" s="53">
        <v>105000</v>
      </c>
      <c r="F47" s="54">
        <v>0</v>
      </c>
      <c r="G47" s="190" t="s">
        <v>136</v>
      </c>
      <c r="H47" s="40">
        <f t="shared" si="26"/>
        <v>0</v>
      </c>
      <c r="I47" s="40">
        <f t="shared" ref="I47:S47" si="31">IF($G47=I$5,  ($E47/12)+$F47,  IF(H47&gt;0,($E47/12)+$F47,0))</f>
        <v>0</v>
      </c>
      <c r="J47" s="113">
        <f t="shared" si="31"/>
        <v>0</v>
      </c>
      <c r="K47" s="40">
        <f t="shared" si="31"/>
        <v>0</v>
      </c>
      <c r="L47" s="40">
        <f t="shared" si="31"/>
        <v>0</v>
      </c>
      <c r="M47" s="113">
        <f t="shared" si="31"/>
        <v>0</v>
      </c>
      <c r="N47" s="40">
        <f t="shared" si="31"/>
        <v>0</v>
      </c>
      <c r="O47" s="40">
        <f t="shared" si="31"/>
        <v>0</v>
      </c>
      <c r="P47" s="113">
        <f t="shared" si="31"/>
        <v>0</v>
      </c>
      <c r="Q47" s="40">
        <f t="shared" si="31"/>
        <v>0</v>
      </c>
      <c r="R47" s="40">
        <f t="shared" si="31"/>
        <v>0</v>
      </c>
      <c r="S47" s="121">
        <f t="shared" si="31"/>
        <v>0</v>
      </c>
      <c r="T47" s="259">
        <v>1</v>
      </c>
      <c r="U47" s="194">
        <f t="shared" si="18"/>
        <v>115500.00000000001</v>
      </c>
      <c r="V47" s="259">
        <v>1</v>
      </c>
      <c r="W47" s="194">
        <f t="shared" si="19"/>
        <v>127050.00000000003</v>
      </c>
      <c r="X47" s="259">
        <v>1</v>
      </c>
      <c r="Y47" s="194">
        <f t="shared" si="21"/>
        <v>139755.00000000003</v>
      </c>
      <c r="Z47" s="259">
        <v>1</v>
      </c>
      <c r="AA47" s="194">
        <f t="shared" si="23"/>
        <v>153730.50000000006</v>
      </c>
      <c r="AB47"/>
    </row>
    <row r="48" spans="1:35" s="5" customFormat="1">
      <c r="A48" s="371" t="s">
        <v>218</v>
      </c>
      <c r="B48" s="48" t="s">
        <v>344</v>
      </c>
      <c r="C48" s="48" t="s">
        <v>343</v>
      </c>
      <c r="D48" s="50" t="s">
        <v>83</v>
      </c>
      <c r="E48" s="53">
        <v>80000</v>
      </c>
      <c r="F48" s="54">
        <v>0</v>
      </c>
      <c r="G48" s="190" t="s">
        <v>67</v>
      </c>
      <c r="H48" s="40">
        <f t="shared" si="26"/>
        <v>6666.666666666667</v>
      </c>
      <c r="I48" s="40">
        <f t="shared" ref="I48:S48" si="32">IF($G48=I$5,  ($E48/12)+$F48,  IF(H48&gt;0,($E48/12)+$F48,0))</f>
        <v>6666.666666666667</v>
      </c>
      <c r="J48" s="113">
        <f t="shared" si="32"/>
        <v>6666.666666666667</v>
      </c>
      <c r="K48" s="40">
        <f t="shared" si="32"/>
        <v>6666.666666666667</v>
      </c>
      <c r="L48" s="40">
        <f t="shared" si="32"/>
        <v>6666.666666666667</v>
      </c>
      <c r="M48" s="113">
        <f t="shared" si="32"/>
        <v>6666.666666666667</v>
      </c>
      <c r="N48" s="40">
        <f t="shared" si="32"/>
        <v>6666.666666666667</v>
      </c>
      <c r="O48" s="40">
        <f t="shared" si="32"/>
        <v>6666.666666666667</v>
      </c>
      <c r="P48" s="113">
        <f t="shared" si="32"/>
        <v>6666.666666666667</v>
      </c>
      <c r="Q48" s="40">
        <f t="shared" si="32"/>
        <v>6666.666666666667</v>
      </c>
      <c r="R48" s="40">
        <f t="shared" si="32"/>
        <v>6666.666666666667</v>
      </c>
      <c r="S48" s="121">
        <f t="shared" si="32"/>
        <v>6666.666666666667</v>
      </c>
      <c r="T48" s="259">
        <v>2</v>
      </c>
      <c r="U48" s="194">
        <f t="shared" si="18"/>
        <v>88000</v>
      </c>
      <c r="V48" s="259">
        <v>3</v>
      </c>
      <c r="W48" s="194">
        <f t="shared" si="19"/>
        <v>96800.000000000015</v>
      </c>
      <c r="X48" s="259">
        <v>4</v>
      </c>
      <c r="Y48" s="194">
        <f t="shared" si="21"/>
        <v>106480.00000000003</v>
      </c>
      <c r="Z48" s="259">
        <v>5</v>
      </c>
      <c r="AA48" s="194">
        <f t="shared" si="23"/>
        <v>117128.00000000004</v>
      </c>
      <c r="AB48"/>
    </row>
    <row r="49" spans="1:28" s="5" customFormat="1">
      <c r="A49" s="371" t="s">
        <v>219</v>
      </c>
      <c r="B49" s="48"/>
      <c r="C49" s="48"/>
      <c r="D49" s="50" t="s">
        <v>83</v>
      </c>
      <c r="E49" s="53">
        <v>75000</v>
      </c>
      <c r="F49" s="54">
        <v>0</v>
      </c>
      <c r="G49" s="190" t="s">
        <v>67</v>
      </c>
      <c r="H49" s="40">
        <f t="shared" si="26"/>
        <v>6250</v>
      </c>
      <c r="I49" s="40">
        <f t="shared" ref="I49:S49" si="33">IF($G49=I$5,  ($E49/12)+$F49,  IF(H49&gt;0,($E49/12)+$F49,0))</f>
        <v>6250</v>
      </c>
      <c r="J49" s="113">
        <f t="shared" si="33"/>
        <v>6250</v>
      </c>
      <c r="K49" s="40">
        <f t="shared" si="33"/>
        <v>6250</v>
      </c>
      <c r="L49" s="40">
        <f t="shared" si="33"/>
        <v>6250</v>
      </c>
      <c r="M49" s="113">
        <f t="shared" si="33"/>
        <v>6250</v>
      </c>
      <c r="N49" s="40">
        <f t="shared" si="33"/>
        <v>6250</v>
      </c>
      <c r="O49" s="40">
        <f t="shared" si="33"/>
        <v>6250</v>
      </c>
      <c r="P49" s="113">
        <f t="shared" si="33"/>
        <v>6250</v>
      </c>
      <c r="Q49" s="40">
        <f t="shared" si="33"/>
        <v>6250</v>
      </c>
      <c r="R49" s="40">
        <f t="shared" si="33"/>
        <v>6250</v>
      </c>
      <c r="S49" s="121">
        <f t="shared" si="33"/>
        <v>6250</v>
      </c>
      <c r="T49" s="259">
        <v>1</v>
      </c>
      <c r="U49" s="194">
        <f t="shared" si="18"/>
        <v>82500</v>
      </c>
      <c r="V49" s="259">
        <v>2</v>
      </c>
      <c r="W49" s="194">
        <f t="shared" si="19"/>
        <v>90750.000000000015</v>
      </c>
      <c r="X49" s="259">
        <v>3</v>
      </c>
      <c r="Y49" s="194">
        <f t="shared" si="21"/>
        <v>99825.000000000029</v>
      </c>
      <c r="Z49" s="259">
        <v>3</v>
      </c>
      <c r="AA49" s="194">
        <f t="shared" si="23"/>
        <v>109807.50000000004</v>
      </c>
      <c r="AB49"/>
    </row>
    <row r="50" spans="1:28" s="5" customFormat="1">
      <c r="A50" s="371" t="s">
        <v>220</v>
      </c>
      <c r="B50" s="48"/>
      <c r="C50" s="48" t="s">
        <v>408</v>
      </c>
      <c r="D50" s="50" t="s">
        <v>83</v>
      </c>
      <c r="E50" s="53">
        <v>60000</v>
      </c>
      <c r="F50" s="54">
        <v>0</v>
      </c>
      <c r="G50" s="190" t="s">
        <v>69</v>
      </c>
      <c r="H50" s="40">
        <f t="shared" si="26"/>
        <v>0</v>
      </c>
      <c r="I50" s="40">
        <f t="shared" ref="I50:S50" si="34">IF($G50=I$5,  ($E50/12)+$F50,  IF(H50&gt;0,($E50/12)+$F50,0))</f>
        <v>0</v>
      </c>
      <c r="J50" s="113">
        <f t="shared" si="34"/>
        <v>0</v>
      </c>
      <c r="K50" s="40">
        <f t="shared" si="34"/>
        <v>0</v>
      </c>
      <c r="L50" s="40">
        <f t="shared" si="34"/>
        <v>0</v>
      </c>
      <c r="M50" s="113">
        <f t="shared" si="34"/>
        <v>5000</v>
      </c>
      <c r="N50" s="40">
        <f t="shared" si="34"/>
        <v>5000</v>
      </c>
      <c r="O50" s="40">
        <f t="shared" si="34"/>
        <v>5000</v>
      </c>
      <c r="P50" s="113">
        <f t="shared" si="34"/>
        <v>5000</v>
      </c>
      <c r="Q50" s="40">
        <f t="shared" si="34"/>
        <v>5000</v>
      </c>
      <c r="R50" s="40">
        <f t="shared" si="34"/>
        <v>5000</v>
      </c>
      <c r="S50" s="121">
        <f t="shared" si="34"/>
        <v>5000</v>
      </c>
      <c r="T50" s="259">
        <v>1</v>
      </c>
      <c r="U50" s="194">
        <f t="shared" si="18"/>
        <v>66000</v>
      </c>
      <c r="V50" s="259">
        <v>1</v>
      </c>
      <c r="W50" s="194">
        <f t="shared" si="19"/>
        <v>72600</v>
      </c>
      <c r="X50" s="259">
        <v>1</v>
      </c>
      <c r="Y50" s="194">
        <f t="shared" si="21"/>
        <v>79860</v>
      </c>
      <c r="Z50" s="259">
        <v>2</v>
      </c>
      <c r="AA50" s="194">
        <f t="shared" si="23"/>
        <v>87846</v>
      </c>
      <c r="AB50"/>
    </row>
    <row r="51" spans="1:28" s="5" customFormat="1">
      <c r="A51" s="371" t="s">
        <v>221</v>
      </c>
      <c r="B51" s="48"/>
      <c r="C51" s="48"/>
      <c r="D51" s="50" t="s">
        <v>83</v>
      </c>
      <c r="E51" s="53">
        <v>80000</v>
      </c>
      <c r="F51" s="54">
        <v>0</v>
      </c>
      <c r="G51" s="190" t="s">
        <v>136</v>
      </c>
      <c r="H51" s="40">
        <f t="shared" si="26"/>
        <v>0</v>
      </c>
      <c r="I51" s="40">
        <f t="shared" ref="I51:S51" si="35">IF($G51=I$5,  ($E51/12)+$F51,  IF(H51&gt;0,($E51/12)+$F51,0))</f>
        <v>0</v>
      </c>
      <c r="J51" s="113">
        <f t="shared" si="35"/>
        <v>0</v>
      </c>
      <c r="K51" s="40">
        <f t="shared" si="35"/>
        <v>0</v>
      </c>
      <c r="L51" s="40">
        <f t="shared" si="35"/>
        <v>0</v>
      </c>
      <c r="M51" s="113">
        <f t="shared" si="35"/>
        <v>0</v>
      </c>
      <c r="N51" s="40">
        <f t="shared" si="35"/>
        <v>0</v>
      </c>
      <c r="O51" s="40">
        <f t="shared" si="35"/>
        <v>0</v>
      </c>
      <c r="P51" s="113">
        <f t="shared" si="35"/>
        <v>0</v>
      </c>
      <c r="Q51" s="40">
        <f t="shared" si="35"/>
        <v>0</v>
      </c>
      <c r="R51" s="40">
        <f t="shared" si="35"/>
        <v>0</v>
      </c>
      <c r="S51" s="121">
        <f t="shared" si="35"/>
        <v>0</v>
      </c>
      <c r="T51" s="259">
        <v>2</v>
      </c>
      <c r="U51" s="194">
        <f>E51*1.1</f>
        <v>88000</v>
      </c>
      <c r="V51" s="259">
        <v>4</v>
      </c>
      <c r="W51" s="194">
        <f t="shared" si="19"/>
        <v>96800.000000000015</v>
      </c>
      <c r="X51" s="259">
        <v>6</v>
      </c>
      <c r="Y51" s="194">
        <f t="shared" si="21"/>
        <v>106480.00000000003</v>
      </c>
      <c r="Z51" s="259">
        <v>8</v>
      </c>
      <c r="AA51" s="194">
        <f t="shared" si="23"/>
        <v>117128.00000000004</v>
      </c>
      <c r="AB51"/>
    </row>
    <row r="52" spans="1:28" s="5" customFormat="1">
      <c r="A52" s="371" t="s">
        <v>221</v>
      </c>
      <c r="B52" s="48"/>
      <c r="C52" s="48"/>
      <c r="D52" s="50" t="s">
        <v>83</v>
      </c>
      <c r="E52" s="53">
        <v>70000</v>
      </c>
      <c r="F52" s="54">
        <v>0</v>
      </c>
      <c r="G52" s="190" t="s">
        <v>136</v>
      </c>
      <c r="H52" s="40">
        <f t="shared" si="26"/>
        <v>0</v>
      </c>
      <c r="I52" s="40">
        <f t="shared" ref="I52:S52" si="36">IF($G52=I$5,  ($E52/12)+$F52,  IF(H52&gt;0,($E52/12)+$F52,0))</f>
        <v>0</v>
      </c>
      <c r="J52" s="113">
        <f t="shared" si="36"/>
        <v>0</v>
      </c>
      <c r="K52" s="40">
        <f t="shared" si="36"/>
        <v>0</v>
      </c>
      <c r="L52" s="40">
        <f t="shared" si="36"/>
        <v>0</v>
      </c>
      <c r="M52" s="113">
        <f t="shared" si="36"/>
        <v>0</v>
      </c>
      <c r="N52" s="40">
        <f t="shared" si="36"/>
        <v>0</v>
      </c>
      <c r="O52" s="40">
        <f t="shared" si="36"/>
        <v>0</v>
      </c>
      <c r="P52" s="113">
        <f t="shared" si="36"/>
        <v>0</v>
      </c>
      <c r="Q52" s="40">
        <f t="shared" si="36"/>
        <v>0</v>
      </c>
      <c r="R52" s="40">
        <f t="shared" si="36"/>
        <v>0</v>
      </c>
      <c r="S52" s="121">
        <f t="shared" si="36"/>
        <v>0</v>
      </c>
      <c r="T52" s="259">
        <v>1</v>
      </c>
      <c r="U52" s="194">
        <f t="shared" si="18"/>
        <v>77000</v>
      </c>
      <c r="V52" s="259">
        <v>1</v>
      </c>
      <c r="W52" s="194">
        <f t="shared" si="19"/>
        <v>84700</v>
      </c>
      <c r="X52" s="259">
        <v>1</v>
      </c>
      <c r="Y52" s="194">
        <f t="shared" si="21"/>
        <v>93170.000000000015</v>
      </c>
      <c r="Z52" s="259">
        <v>1</v>
      </c>
      <c r="AA52" s="194">
        <f t="shared" si="23"/>
        <v>102487.00000000003</v>
      </c>
      <c r="AB52"/>
    </row>
    <row r="53" spans="1:28" s="5" customFormat="1">
      <c r="A53" s="372" t="s">
        <v>137</v>
      </c>
      <c r="B53" s="15"/>
      <c r="C53" s="15"/>
      <c r="D53" s="27" t="s">
        <v>83</v>
      </c>
      <c r="E53" s="57">
        <v>110000</v>
      </c>
      <c r="F53" s="373">
        <v>0</v>
      </c>
      <c r="G53" s="170" t="s">
        <v>136</v>
      </c>
      <c r="H53" s="30">
        <f t="shared" si="26"/>
        <v>0</v>
      </c>
      <c r="I53" s="30">
        <f t="shared" ref="I53:S53" si="37">IF($G53=I$5,  ($E53/12)+$F53,  IF(H53&gt;0,($E53/12)+$F53,0))</f>
        <v>0</v>
      </c>
      <c r="J53" s="114">
        <f t="shared" si="37"/>
        <v>0</v>
      </c>
      <c r="K53" s="30">
        <f t="shared" si="37"/>
        <v>0</v>
      </c>
      <c r="L53" s="30">
        <f t="shared" si="37"/>
        <v>0</v>
      </c>
      <c r="M53" s="114">
        <f t="shared" si="37"/>
        <v>0</v>
      </c>
      <c r="N53" s="30">
        <f t="shared" si="37"/>
        <v>0</v>
      </c>
      <c r="O53" s="30">
        <f t="shared" si="37"/>
        <v>0</v>
      </c>
      <c r="P53" s="114">
        <f t="shared" si="37"/>
        <v>0</v>
      </c>
      <c r="Q53" s="30">
        <f t="shared" si="37"/>
        <v>0</v>
      </c>
      <c r="R53" s="30">
        <f t="shared" si="37"/>
        <v>0</v>
      </c>
      <c r="S53" s="122">
        <f t="shared" si="37"/>
        <v>0</v>
      </c>
      <c r="T53" s="260">
        <v>1</v>
      </c>
      <c r="U53" s="261">
        <f t="shared" si="18"/>
        <v>121000.00000000001</v>
      </c>
      <c r="V53" s="260">
        <v>1</v>
      </c>
      <c r="W53" s="261">
        <f t="shared" si="19"/>
        <v>133100.00000000003</v>
      </c>
      <c r="X53" s="260">
        <v>1</v>
      </c>
      <c r="Y53" s="261">
        <f t="shared" si="21"/>
        <v>146410.00000000006</v>
      </c>
      <c r="Z53" s="260">
        <v>1</v>
      </c>
      <c r="AA53" s="261">
        <f t="shared" si="23"/>
        <v>161051.00000000009</v>
      </c>
      <c r="AB53"/>
    </row>
    <row r="54" spans="1:28" s="238" customFormat="1" ht="5.25" customHeight="1" thickBot="1">
      <c r="A54" s="29"/>
      <c r="B54" s="15"/>
      <c r="C54" s="15"/>
      <c r="D54" s="50"/>
      <c r="E54" s="334"/>
      <c r="F54" s="374"/>
      <c r="G54" s="364"/>
      <c r="H54" s="30"/>
      <c r="I54" s="30"/>
      <c r="J54" s="114"/>
      <c r="K54" s="30"/>
      <c r="L54" s="30"/>
      <c r="M54" s="114"/>
      <c r="N54" s="30"/>
      <c r="O54" s="30"/>
      <c r="P54" s="114"/>
      <c r="Q54" s="30"/>
      <c r="R54" s="30"/>
      <c r="S54" s="122"/>
      <c r="T54" s="260"/>
      <c r="U54" s="261"/>
      <c r="V54" s="260"/>
      <c r="W54" s="261"/>
      <c r="X54" s="260"/>
      <c r="Y54" s="261"/>
      <c r="Z54" s="260"/>
      <c r="AA54" s="261"/>
      <c r="AB54" s="239"/>
    </row>
    <row r="55" spans="1:28" s="337" customFormat="1" ht="16.5" thickBot="1">
      <c r="A55" s="310" t="s">
        <v>204</v>
      </c>
      <c r="B55" s="336"/>
      <c r="C55" s="336"/>
      <c r="D55" s="446">
        <v>1.25</v>
      </c>
      <c r="E55" s="447" t="s">
        <v>240</v>
      </c>
      <c r="F55" s="375"/>
      <c r="G55" s="338"/>
      <c r="I55" s="339"/>
      <c r="J55" s="340"/>
      <c r="K55" s="339"/>
      <c r="L55" s="339"/>
      <c r="M55" s="340"/>
      <c r="N55" s="339"/>
      <c r="O55" s="339"/>
      <c r="P55" s="340"/>
      <c r="Q55" s="339"/>
      <c r="R55" s="339"/>
      <c r="S55" s="341"/>
      <c r="T55" s="342"/>
      <c r="U55" s="343"/>
      <c r="V55" s="342"/>
      <c r="W55" s="343"/>
      <c r="X55" s="342"/>
      <c r="Y55" s="343"/>
      <c r="Z55" s="342"/>
      <c r="AA55" s="343"/>
    </row>
    <row r="56" spans="1:28" s="5" customFormat="1">
      <c r="A56" s="49" t="s">
        <v>178</v>
      </c>
      <c r="B56" s="48" t="s">
        <v>234</v>
      </c>
      <c r="C56" s="48" t="s">
        <v>235</v>
      </c>
      <c r="D56" s="50" t="s">
        <v>328</v>
      </c>
      <c r="E56" s="334">
        <v>150000</v>
      </c>
      <c r="F56" s="376">
        <f>2000/3</f>
        <v>666.66666666666663</v>
      </c>
      <c r="G56" s="335" t="s">
        <v>67</v>
      </c>
      <c r="H56" s="40">
        <f>$D$55*IF($G56=H$5,($E56/12)+$F56,0)</f>
        <v>16458.333333333332</v>
      </c>
      <c r="I56" s="40">
        <f t="shared" ref="I56:S56" si="38">$D$55*IF($G56=I$5,  ($E56/12)+$F56,  IF(H56&gt;0,($E56/12)+$F56,0))</f>
        <v>16458.333333333332</v>
      </c>
      <c r="J56" s="113">
        <f t="shared" si="38"/>
        <v>16458.333333333332</v>
      </c>
      <c r="K56" s="40">
        <f t="shared" si="38"/>
        <v>16458.333333333332</v>
      </c>
      <c r="L56" s="40">
        <f t="shared" si="38"/>
        <v>16458.333333333332</v>
      </c>
      <c r="M56" s="113">
        <f t="shared" si="38"/>
        <v>16458.333333333332</v>
      </c>
      <c r="N56" s="40">
        <f t="shared" si="38"/>
        <v>16458.333333333332</v>
      </c>
      <c r="O56" s="40">
        <f t="shared" si="38"/>
        <v>16458.333333333332</v>
      </c>
      <c r="P56" s="113">
        <f t="shared" si="38"/>
        <v>16458.333333333332</v>
      </c>
      <c r="Q56" s="40">
        <f t="shared" si="38"/>
        <v>16458.333333333332</v>
      </c>
      <c r="R56" s="40">
        <f t="shared" si="38"/>
        <v>16458.333333333332</v>
      </c>
      <c r="S56" s="121">
        <f t="shared" si="38"/>
        <v>16458.333333333332</v>
      </c>
      <c r="T56" s="259">
        <v>1</v>
      </c>
      <c r="U56" s="194">
        <f>E56*1.1</f>
        <v>165000</v>
      </c>
      <c r="V56" s="259">
        <v>1</v>
      </c>
      <c r="W56" s="194">
        <f>U56*1.1</f>
        <v>181500.00000000003</v>
      </c>
      <c r="X56" s="259">
        <v>1</v>
      </c>
      <c r="Y56" s="194">
        <f>W56*1.1</f>
        <v>199650.00000000006</v>
      </c>
      <c r="Z56" s="259">
        <v>1</v>
      </c>
      <c r="AA56" s="194">
        <f>Y56*1.1</f>
        <v>219615.00000000009</v>
      </c>
      <c r="AB56"/>
    </row>
    <row r="57" spans="1:28" s="5" customFormat="1">
      <c r="A57" s="49" t="s">
        <v>232</v>
      </c>
      <c r="B57" s="48" t="s">
        <v>236</v>
      </c>
      <c r="C57" s="48" t="s">
        <v>237</v>
      </c>
      <c r="D57" s="50" t="s">
        <v>329</v>
      </c>
      <c r="E57" s="334">
        <v>120000</v>
      </c>
      <c r="F57" s="376">
        <f>2000/3</f>
        <v>666.66666666666663</v>
      </c>
      <c r="G57" s="335" t="s">
        <v>67</v>
      </c>
      <c r="H57" s="40">
        <f>$D$55*IF($G57=H$5,($E57/12)+$F57,0)</f>
        <v>13333.333333333332</v>
      </c>
      <c r="I57" s="40">
        <f t="shared" ref="I57:S57" si="39">$D$55*IF($G57=I$5,  ($E57/12)+$F57,  IF(H57&gt;0,($E57/12)+$F57,0))</f>
        <v>13333.333333333332</v>
      </c>
      <c r="J57" s="113">
        <f t="shared" si="39"/>
        <v>13333.333333333332</v>
      </c>
      <c r="K57" s="40">
        <f t="shared" si="39"/>
        <v>13333.333333333332</v>
      </c>
      <c r="L57" s="40">
        <f t="shared" si="39"/>
        <v>13333.333333333332</v>
      </c>
      <c r="M57" s="113">
        <f t="shared" si="39"/>
        <v>13333.333333333332</v>
      </c>
      <c r="N57" s="40">
        <f t="shared" si="39"/>
        <v>13333.333333333332</v>
      </c>
      <c r="O57" s="40">
        <f t="shared" si="39"/>
        <v>13333.333333333332</v>
      </c>
      <c r="P57" s="113">
        <f t="shared" si="39"/>
        <v>13333.333333333332</v>
      </c>
      <c r="Q57" s="40">
        <f t="shared" si="39"/>
        <v>13333.333333333332</v>
      </c>
      <c r="R57" s="40">
        <f t="shared" si="39"/>
        <v>13333.333333333332</v>
      </c>
      <c r="S57" s="121">
        <f t="shared" si="39"/>
        <v>13333.333333333332</v>
      </c>
      <c r="T57" s="259">
        <v>1</v>
      </c>
      <c r="U57" s="194">
        <f>E57*1.1</f>
        <v>132000</v>
      </c>
      <c r="V57" s="259">
        <v>1</v>
      </c>
      <c r="W57" s="194">
        <f>U57*1.1</f>
        <v>145200</v>
      </c>
      <c r="X57" s="259">
        <v>1</v>
      </c>
      <c r="Y57" s="194">
        <f>W57*1.1</f>
        <v>159720</v>
      </c>
      <c r="Z57" s="259">
        <v>1</v>
      </c>
      <c r="AA57" s="194">
        <f>Y57*1.1</f>
        <v>175692</v>
      </c>
      <c r="AB57"/>
    </row>
    <row r="58" spans="1:28" s="5" customFormat="1">
      <c r="A58" s="49" t="s">
        <v>233</v>
      </c>
      <c r="B58" s="48" t="s">
        <v>238</v>
      </c>
      <c r="C58" s="48" t="s">
        <v>239</v>
      </c>
      <c r="D58" s="50" t="s">
        <v>330</v>
      </c>
      <c r="E58" s="334">
        <v>96000</v>
      </c>
      <c r="F58" s="376">
        <f>2000/3</f>
        <v>666.66666666666663</v>
      </c>
      <c r="G58" s="335" t="s">
        <v>67</v>
      </c>
      <c r="H58" s="40">
        <f>$D$55*IF($G58=H$5,($E58/12)+$F58,0)</f>
        <v>10833.333333333332</v>
      </c>
      <c r="I58" s="40">
        <f t="shared" ref="I58:S58" si="40">$D$55*IF($G58=I$5,  ($E58/12)+$F58,  IF(H58&gt;0,($E58/12)+$F58,0))</f>
        <v>10833.333333333332</v>
      </c>
      <c r="J58" s="113">
        <f t="shared" si="40"/>
        <v>10833.333333333332</v>
      </c>
      <c r="K58" s="40">
        <f t="shared" si="40"/>
        <v>10833.333333333332</v>
      </c>
      <c r="L58" s="40">
        <f t="shared" si="40"/>
        <v>10833.333333333332</v>
      </c>
      <c r="M58" s="113">
        <f t="shared" si="40"/>
        <v>10833.333333333332</v>
      </c>
      <c r="N58" s="40">
        <f t="shared" si="40"/>
        <v>10833.333333333332</v>
      </c>
      <c r="O58" s="40">
        <f t="shared" si="40"/>
        <v>10833.333333333332</v>
      </c>
      <c r="P58" s="113">
        <f t="shared" si="40"/>
        <v>10833.333333333332</v>
      </c>
      <c r="Q58" s="40">
        <f t="shared" si="40"/>
        <v>10833.333333333332</v>
      </c>
      <c r="R58" s="40">
        <f t="shared" si="40"/>
        <v>10833.333333333332</v>
      </c>
      <c r="S58" s="121">
        <f t="shared" si="40"/>
        <v>10833.333333333332</v>
      </c>
      <c r="T58" s="259">
        <v>1</v>
      </c>
      <c r="U58" s="194">
        <f>E58*1.1</f>
        <v>105600.00000000001</v>
      </c>
      <c r="V58" s="259">
        <v>1</v>
      </c>
      <c r="W58" s="194">
        <f>U58*1.1</f>
        <v>116160.00000000003</v>
      </c>
      <c r="X58" s="259">
        <v>1</v>
      </c>
      <c r="Y58" s="194">
        <f>W58*1.1</f>
        <v>127776.00000000004</v>
      </c>
      <c r="Z58" s="259">
        <v>1</v>
      </c>
      <c r="AA58" s="194">
        <f>Y58*1.1</f>
        <v>140553.60000000006</v>
      </c>
      <c r="AB58"/>
    </row>
    <row r="59" spans="1:28" s="5" customFormat="1">
      <c r="A59" s="49"/>
      <c r="B59" s="48"/>
      <c r="C59" s="48"/>
      <c r="D59" s="50"/>
      <c r="E59" s="334"/>
      <c r="F59" s="376"/>
      <c r="G59" s="335"/>
      <c r="H59" s="40"/>
      <c r="I59" s="40"/>
      <c r="J59" s="113"/>
      <c r="K59" s="40"/>
      <c r="L59" s="40"/>
      <c r="M59" s="113"/>
      <c r="N59" s="40"/>
      <c r="O59" s="40"/>
      <c r="P59" s="113"/>
      <c r="Q59" s="40"/>
      <c r="R59" s="40"/>
      <c r="S59" s="121"/>
      <c r="T59" s="259"/>
      <c r="U59" s="194"/>
      <c r="V59" s="259"/>
      <c r="W59" s="194"/>
      <c r="X59" s="259"/>
      <c r="Y59" s="194"/>
      <c r="Z59" s="259"/>
      <c r="AA59" s="194"/>
      <c r="AB59"/>
    </row>
    <row r="60" spans="1:28" s="5" customFormat="1">
      <c r="A60" s="372" t="s">
        <v>347</v>
      </c>
      <c r="B60" s="48"/>
      <c r="C60" s="48"/>
      <c r="D60" s="50"/>
      <c r="E60" s="334"/>
      <c r="F60" s="376"/>
      <c r="G60" s="335"/>
      <c r="H60" s="40"/>
      <c r="I60" s="40"/>
      <c r="J60" s="113"/>
      <c r="K60" s="40"/>
      <c r="L60" s="40"/>
      <c r="M60" s="113"/>
      <c r="N60" s="40"/>
      <c r="O60" s="40"/>
      <c r="P60" s="113"/>
      <c r="Q60" s="40"/>
      <c r="R60" s="40"/>
      <c r="S60" s="121"/>
      <c r="T60" s="259"/>
      <c r="U60" s="194"/>
      <c r="V60" s="259"/>
      <c r="W60" s="194"/>
      <c r="X60" s="259"/>
      <c r="Y60" s="194"/>
      <c r="Z60" s="259"/>
      <c r="AA60" s="194"/>
      <c r="AB60"/>
    </row>
    <row r="61" spans="1:28" s="5" customFormat="1">
      <c r="A61" s="371" t="s">
        <v>241</v>
      </c>
      <c r="B61" s="48"/>
      <c r="C61" s="48"/>
      <c r="D61" s="50"/>
      <c r="E61" s="334">
        <v>60000</v>
      </c>
      <c r="F61" s="376">
        <f>F58</f>
        <v>666.66666666666663</v>
      </c>
      <c r="G61" s="335" t="s">
        <v>136</v>
      </c>
      <c r="H61" s="40">
        <f>$D$55*IF($G61=H$5,($E61/12)+$F61,0)</f>
        <v>0</v>
      </c>
      <c r="I61" s="40">
        <f t="shared" ref="I61:S61" si="41">$D$55*IF($G61=I$5,  ($E61/12)+$F61,  IF(H61&gt;0,($E61/12)+$F61,0))</f>
        <v>0</v>
      </c>
      <c r="J61" s="113">
        <f t="shared" si="41"/>
        <v>0</v>
      </c>
      <c r="K61" s="40">
        <f t="shared" si="41"/>
        <v>0</v>
      </c>
      <c r="L61" s="40">
        <f t="shared" si="41"/>
        <v>0</v>
      </c>
      <c r="M61" s="113">
        <f t="shared" si="41"/>
        <v>0</v>
      </c>
      <c r="N61" s="40">
        <f t="shared" si="41"/>
        <v>0</v>
      </c>
      <c r="O61" s="40">
        <f t="shared" si="41"/>
        <v>0</v>
      </c>
      <c r="P61" s="113">
        <f t="shared" si="41"/>
        <v>0</v>
      </c>
      <c r="Q61" s="40">
        <f t="shared" si="41"/>
        <v>0</v>
      </c>
      <c r="R61" s="40">
        <f t="shared" si="41"/>
        <v>0</v>
      </c>
      <c r="S61" s="121">
        <f t="shared" si="41"/>
        <v>0</v>
      </c>
      <c r="T61" s="259">
        <v>1</v>
      </c>
      <c r="U61" s="194">
        <f>E61*1.1</f>
        <v>66000</v>
      </c>
      <c r="V61" s="259">
        <v>1</v>
      </c>
      <c r="W61" s="194">
        <f>U61*1.1</f>
        <v>72600</v>
      </c>
      <c r="X61" s="259">
        <v>1</v>
      </c>
      <c r="Y61" s="194">
        <f>W61*1.1</f>
        <v>79860</v>
      </c>
      <c r="Z61" s="259">
        <v>1</v>
      </c>
      <c r="AA61" s="194">
        <f>Y61*1.1</f>
        <v>87846</v>
      </c>
      <c r="AB61"/>
    </row>
    <row r="62" spans="1:28" s="5" customFormat="1">
      <c r="A62" s="371" t="s">
        <v>241</v>
      </c>
      <c r="B62" s="48"/>
      <c r="C62" s="48"/>
      <c r="D62" s="50"/>
      <c r="E62" s="334">
        <v>80000</v>
      </c>
      <c r="F62" s="376">
        <f>F61</f>
        <v>666.66666666666663</v>
      </c>
      <c r="G62" s="335" t="s">
        <v>136</v>
      </c>
      <c r="H62" s="40">
        <f>$D$55*IF($G62=H$5,($E62/12)+$F62,0)</f>
        <v>0</v>
      </c>
      <c r="I62" s="40">
        <f t="shared" ref="I62:S62" si="42">$D$55*IF($G62=I$5,  ($E62/12)+$F62,  IF(H62&gt;0,($E62/12)+$F62,0))</f>
        <v>0</v>
      </c>
      <c r="J62" s="113">
        <f t="shared" si="42"/>
        <v>0</v>
      </c>
      <c r="K62" s="40">
        <f t="shared" si="42"/>
        <v>0</v>
      </c>
      <c r="L62" s="40">
        <f t="shared" si="42"/>
        <v>0</v>
      </c>
      <c r="M62" s="113">
        <f t="shared" si="42"/>
        <v>0</v>
      </c>
      <c r="N62" s="40">
        <f t="shared" si="42"/>
        <v>0</v>
      </c>
      <c r="O62" s="40">
        <f t="shared" si="42"/>
        <v>0</v>
      </c>
      <c r="P62" s="113">
        <f t="shared" si="42"/>
        <v>0</v>
      </c>
      <c r="Q62" s="40">
        <f t="shared" si="42"/>
        <v>0</v>
      </c>
      <c r="R62" s="40">
        <f t="shared" si="42"/>
        <v>0</v>
      </c>
      <c r="S62" s="121">
        <f t="shared" si="42"/>
        <v>0</v>
      </c>
      <c r="T62" s="259">
        <v>1</v>
      </c>
      <c r="U62" s="194">
        <f>E62*1.1</f>
        <v>88000</v>
      </c>
      <c r="V62" s="259">
        <v>1</v>
      </c>
      <c r="W62" s="194">
        <f>U62*1.1</f>
        <v>96800.000000000015</v>
      </c>
      <c r="X62" s="259">
        <v>1</v>
      </c>
      <c r="Y62" s="194">
        <f>W62*1.1</f>
        <v>106480.00000000003</v>
      </c>
      <c r="Z62" s="259">
        <v>1</v>
      </c>
      <c r="AA62" s="194">
        <f>Y62*1.1</f>
        <v>117128.00000000004</v>
      </c>
      <c r="AB62"/>
    </row>
    <row r="63" spans="1:28" s="5" customFormat="1">
      <c r="A63" s="371"/>
      <c r="B63" s="48"/>
      <c r="C63" s="48"/>
      <c r="D63" s="50"/>
      <c r="E63" s="334">
        <v>0</v>
      </c>
      <c r="F63" s="376">
        <v>0</v>
      </c>
      <c r="G63" s="335"/>
      <c r="H63" s="40">
        <f>$D$55*IF($G63=H$5,($E63/12)+$F63,0)</f>
        <v>0</v>
      </c>
      <c r="I63" s="40">
        <f t="shared" ref="I63:S63" si="43">$D$55*IF($G63=I$5,  ($E63/12)+$F63,  IF(H63&gt;0,($E63/12)+$F63,0))</f>
        <v>0</v>
      </c>
      <c r="J63" s="113">
        <f t="shared" si="43"/>
        <v>0</v>
      </c>
      <c r="K63" s="40">
        <f t="shared" si="43"/>
        <v>0</v>
      </c>
      <c r="L63" s="40">
        <f t="shared" si="43"/>
        <v>0</v>
      </c>
      <c r="M63" s="113">
        <f t="shared" si="43"/>
        <v>0</v>
      </c>
      <c r="N63" s="40">
        <f t="shared" si="43"/>
        <v>0</v>
      </c>
      <c r="O63" s="40">
        <f t="shared" si="43"/>
        <v>0</v>
      </c>
      <c r="P63" s="113">
        <f t="shared" si="43"/>
        <v>0</v>
      </c>
      <c r="Q63" s="40">
        <f t="shared" si="43"/>
        <v>0</v>
      </c>
      <c r="R63" s="40">
        <f t="shared" si="43"/>
        <v>0</v>
      </c>
      <c r="S63" s="121">
        <f t="shared" si="43"/>
        <v>0</v>
      </c>
      <c r="T63" s="259">
        <v>0</v>
      </c>
      <c r="U63" s="194">
        <f>E63*1.1</f>
        <v>0</v>
      </c>
      <c r="V63" s="259">
        <v>0</v>
      </c>
      <c r="W63" s="194">
        <f>U63*1.1</f>
        <v>0</v>
      </c>
      <c r="X63" s="259">
        <v>0</v>
      </c>
      <c r="Y63" s="194">
        <f>W63*1.1</f>
        <v>0</v>
      </c>
      <c r="Z63" s="259">
        <v>0</v>
      </c>
      <c r="AA63" s="194">
        <f>Y63*1.1</f>
        <v>0</v>
      </c>
      <c r="AB63"/>
    </row>
    <row r="64" spans="1:28" s="5" customFormat="1">
      <c r="A64" s="371"/>
      <c r="B64" s="48"/>
      <c r="C64" s="48"/>
      <c r="D64" s="50"/>
      <c r="E64" s="334">
        <v>0</v>
      </c>
      <c r="F64" s="374">
        <v>0</v>
      </c>
      <c r="G64" s="364"/>
      <c r="H64" s="40">
        <f>$D$55*IF($G64=H$5,($E64/12)+$F64,0)</f>
        <v>0</v>
      </c>
      <c r="I64" s="40">
        <f t="shared" ref="I64:S64" si="44">$D$55*IF($G64=I$5,  ($E64/12)+$F64,  IF(H64&gt;0,($E64/12)+$F64,0))</f>
        <v>0</v>
      </c>
      <c r="J64" s="113">
        <f t="shared" si="44"/>
        <v>0</v>
      </c>
      <c r="K64" s="40">
        <f t="shared" si="44"/>
        <v>0</v>
      </c>
      <c r="L64" s="40">
        <f t="shared" si="44"/>
        <v>0</v>
      </c>
      <c r="M64" s="113">
        <f t="shared" si="44"/>
        <v>0</v>
      </c>
      <c r="N64" s="40">
        <f t="shared" si="44"/>
        <v>0</v>
      </c>
      <c r="O64" s="40">
        <f t="shared" si="44"/>
        <v>0</v>
      </c>
      <c r="P64" s="113">
        <f t="shared" si="44"/>
        <v>0</v>
      </c>
      <c r="Q64" s="40">
        <f t="shared" si="44"/>
        <v>0</v>
      </c>
      <c r="R64" s="40">
        <f t="shared" si="44"/>
        <v>0</v>
      </c>
      <c r="S64" s="121">
        <f t="shared" si="44"/>
        <v>0</v>
      </c>
      <c r="T64" s="260">
        <v>0</v>
      </c>
      <c r="U64" s="261">
        <f>E64*1.1</f>
        <v>0</v>
      </c>
      <c r="V64" s="260">
        <v>0</v>
      </c>
      <c r="W64" s="261">
        <f>U64*1.1</f>
        <v>0</v>
      </c>
      <c r="X64" s="260">
        <v>0</v>
      </c>
      <c r="Y64" s="261">
        <f>W64*1.1</f>
        <v>0</v>
      </c>
      <c r="Z64" s="260">
        <v>0</v>
      </c>
      <c r="AA64" s="261">
        <f>Y64*1.1</f>
        <v>0</v>
      </c>
      <c r="AB64"/>
    </row>
    <row r="65" spans="1:27" ht="15.75" thickBot="1">
      <c r="A65" s="60"/>
      <c r="B65" s="59"/>
      <c r="C65" s="59"/>
      <c r="D65" s="61"/>
      <c r="E65" s="206"/>
      <c r="G65" s="84" t="s">
        <v>57</v>
      </c>
      <c r="H65" s="13">
        <f>SUM(H7:H64)</f>
        <v>196291.66666666669</v>
      </c>
      <c r="I65" s="13">
        <f t="shared" ref="I65:S65" si="45">SUM(I7:I64)</f>
        <v>196291.66666666669</v>
      </c>
      <c r="J65" s="115">
        <f t="shared" si="45"/>
        <v>196291.66666666669</v>
      </c>
      <c r="K65" s="13">
        <f t="shared" si="45"/>
        <v>196291.66666666669</v>
      </c>
      <c r="L65" s="13">
        <f t="shared" si="45"/>
        <v>196291.66666666669</v>
      </c>
      <c r="M65" s="115">
        <f t="shared" si="45"/>
        <v>201291.66666666669</v>
      </c>
      <c r="N65" s="13">
        <f t="shared" si="45"/>
        <v>206291.66666666669</v>
      </c>
      <c r="O65" s="13">
        <f t="shared" si="45"/>
        <v>206291.66666666669</v>
      </c>
      <c r="P65" s="115">
        <f t="shared" si="45"/>
        <v>206291.66666666669</v>
      </c>
      <c r="Q65" s="13">
        <f t="shared" si="45"/>
        <v>206291.66666666669</v>
      </c>
      <c r="R65" s="13">
        <f t="shared" si="45"/>
        <v>206291.66666666669</v>
      </c>
      <c r="S65" s="123">
        <f t="shared" si="45"/>
        <v>206291.66666666669</v>
      </c>
      <c r="T65" s="656">
        <f>SUMPRODUCT(T11:T53,U11:U53)</f>
        <v>2832500</v>
      </c>
      <c r="U65" s="657"/>
      <c r="V65" s="656">
        <f>SUMPRODUCT(V11:V53,W11:W53)</f>
        <v>4307600</v>
      </c>
      <c r="W65" s="657"/>
      <c r="X65" s="656">
        <f>SUMPRODUCT(X11:X53,Y11:Y53)</f>
        <v>5736610</v>
      </c>
      <c r="Y65" s="657"/>
      <c r="Z65" s="656">
        <f>SUMPRODUCT(Z11:Z53,AA11:AA53)</f>
        <v>7752409.5000000009</v>
      </c>
      <c r="AA65" s="657"/>
    </row>
    <row r="66" spans="1:27" ht="16.5" thickTop="1" thickBot="1">
      <c r="D66"/>
      <c r="E66" s="35"/>
      <c r="F66" s="85"/>
      <c r="G66" s="86" t="s">
        <v>56</v>
      </c>
      <c r="H66" s="139">
        <f>COUNTIF(H7:H64,"&gt;0")</f>
        <v>20</v>
      </c>
      <c r="I66" s="139">
        <f t="shared" ref="I66:AA66" si="46">COUNTIF(I7:I64,"&gt;0")</f>
        <v>20</v>
      </c>
      <c r="J66" s="140">
        <f t="shared" si="46"/>
        <v>20</v>
      </c>
      <c r="K66" s="139">
        <f t="shared" si="46"/>
        <v>20</v>
      </c>
      <c r="L66" s="139">
        <f t="shared" si="46"/>
        <v>20</v>
      </c>
      <c r="M66" s="140">
        <f t="shared" si="46"/>
        <v>21</v>
      </c>
      <c r="N66" s="139">
        <f t="shared" si="46"/>
        <v>22</v>
      </c>
      <c r="O66" s="139">
        <f t="shared" si="46"/>
        <v>22</v>
      </c>
      <c r="P66" s="140">
        <f t="shared" si="46"/>
        <v>22</v>
      </c>
      <c r="Q66" s="139">
        <f t="shared" si="46"/>
        <v>22</v>
      </c>
      <c r="R66" s="139">
        <f t="shared" si="46"/>
        <v>22</v>
      </c>
      <c r="S66" s="141">
        <f t="shared" si="46"/>
        <v>22</v>
      </c>
      <c r="T66" s="658">
        <f t="shared" si="46"/>
        <v>30</v>
      </c>
      <c r="U66" s="659">
        <f t="shared" si="46"/>
        <v>47</v>
      </c>
      <c r="V66" s="658">
        <f t="shared" si="46"/>
        <v>30</v>
      </c>
      <c r="W66" s="659">
        <f t="shared" si="46"/>
        <v>47</v>
      </c>
      <c r="X66" s="658">
        <f t="shared" si="46"/>
        <v>30</v>
      </c>
      <c r="Y66" s="659">
        <f t="shared" si="46"/>
        <v>47</v>
      </c>
      <c r="Z66" s="658">
        <f t="shared" si="46"/>
        <v>30</v>
      </c>
      <c r="AA66" s="659">
        <f t="shared" si="46"/>
        <v>47</v>
      </c>
    </row>
    <row r="67" spans="1:27" ht="13.5" thickTop="1">
      <c r="D67"/>
      <c r="E67" s="35"/>
      <c r="J67"/>
      <c r="M67"/>
      <c r="P67" s="166"/>
      <c r="Q67" s="166"/>
      <c r="S67" t="s">
        <v>188</v>
      </c>
      <c r="T67" s="317">
        <v>0.21</v>
      </c>
      <c r="V67" s="317">
        <v>0.22</v>
      </c>
      <c r="X67" s="317">
        <v>0.23</v>
      </c>
      <c r="Z67" s="317">
        <v>0.21</v>
      </c>
    </row>
    <row r="68" spans="1:27">
      <c r="D68"/>
      <c r="J68"/>
      <c r="M68"/>
      <c r="P68" s="35"/>
      <c r="Q68" s="35"/>
      <c r="T68" s="28" t="s">
        <v>189</v>
      </c>
      <c r="U68" s="318">
        <f>T65*(1+T67)/4000</f>
        <v>856.83124999999995</v>
      </c>
      <c r="W68" s="318">
        <f>V65*(1+V67)/4000</f>
        <v>1313.818</v>
      </c>
      <c r="Y68" s="318">
        <f>X65*(1+X67)/4000</f>
        <v>1764.0075749999999</v>
      </c>
      <c r="AA68" s="318">
        <f>Z65*(1+Z67)/4000</f>
        <v>2345.1038737500003</v>
      </c>
    </row>
    <row r="69" spans="1:27">
      <c r="D69"/>
      <c r="J69"/>
      <c r="M69"/>
      <c r="P69" s="35"/>
      <c r="Q69" s="35"/>
      <c r="S69"/>
    </row>
    <row r="70" spans="1:27">
      <c r="D70"/>
      <c r="J70"/>
      <c r="M70"/>
      <c r="P70"/>
      <c r="S70"/>
    </row>
    <row r="71" spans="1:27">
      <c r="D71"/>
      <c r="J71"/>
      <c r="M71"/>
      <c r="P71"/>
      <c r="S71"/>
    </row>
    <row r="72" spans="1:27">
      <c r="D72"/>
      <c r="J72"/>
      <c r="M72"/>
      <c r="P72"/>
      <c r="S72"/>
    </row>
    <row r="73" spans="1:27">
      <c r="D73"/>
      <c r="J73"/>
      <c r="M73"/>
      <c r="P73"/>
      <c r="S73"/>
    </row>
    <row r="74" spans="1:27">
      <c r="D74"/>
      <c r="J74"/>
      <c r="M74"/>
      <c r="P74"/>
      <c r="S74"/>
    </row>
    <row r="75" spans="1:27">
      <c r="D75"/>
      <c r="J75"/>
      <c r="M75"/>
      <c r="P75"/>
      <c r="S75"/>
    </row>
    <row r="76" spans="1:27">
      <c r="D76"/>
      <c r="J76"/>
      <c r="M76"/>
      <c r="P76"/>
      <c r="S76"/>
    </row>
    <row r="77" spans="1:27">
      <c r="D77"/>
      <c r="J77"/>
      <c r="M77"/>
      <c r="P77"/>
      <c r="S77"/>
    </row>
    <row r="78" spans="1:27">
      <c r="D78"/>
      <c r="J78"/>
      <c r="M78"/>
      <c r="P78"/>
      <c r="S78"/>
    </row>
    <row r="79" spans="1:27">
      <c r="D79"/>
      <c r="J79"/>
      <c r="M79"/>
      <c r="P79"/>
      <c r="S79"/>
    </row>
    <row r="80" spans="1:27">
      <c r="D80"/>
      <c r="J80"/>
      <c r="M80"/>
      <c r="P80"/>
      <c r="S80"/>
    </row>
    <row r="81" spans="4:19">
      <c r="D81"/>
      <c r="J81"/>
      <c r="M81"/>
      <c r="P81"/>
      <c r="S81"/>
    </row>
    <row r="82" spans="4:19">
      <c r="D82"/>
      <c r="J82"/>
      <c r="M82"/>
      <c r="P82"/>
      <c r="S82"/>
    </row>
    <row r="83" spans="4:19">
      <c r="D83"/>
      <c r="J83"/>
      <c r="M83"/>
      <c r="P83"/>
      <c r="S83"/>
    </row>
    <row r="84" spans="4:19">
      <c r="D84"/>
      <c r="J84"/>
      <c r="M84"/>
      <c r="P84"/>
      <c r="S84"/>
    </row>
    <row r="85" spans="4:19">
      <c r="D85"/>
      <c r="J85"/>
      <c r="M85"/>
      <c r="P85"/>
      <c r="S85"/>
    </row>
    <row r="86" spans="4:19">
      <c r="D86"/>
      <c r="J86"/>
      <c r="M86"/>
      <c r="P86"/>
      <c r="S86"/>
    </row>
    <row r="87" spans="4:19">
      <c r="D87"/>
      <c r="J87"/>
      <c r="M87"/>
      <c r="P87"/>
      <c r="S87"/>
    </row>
    <row r="88" spans="4:19">
      <c r="D88"/>
      <c r="J88"/>
      <c r="M88"/>
      <c r="P88"/>
      <c r="S88"/>
    </row>
    <row r="89" spans="4:19">
      <c r="D89"/>
      <c r="J89"/>
      <c r="M89"/>
      <c r="P89"/>
      <c r="S89"/>
    </row>
    <row r="90" spans="4:19">
      <c r="D90"/>
      <c r="J90"/>
      <c r="M90"/>
      <c r="P90"/>
      <c r="S90"/>
    </row>
    <row r="91" spans="4:19">
      <c r="D91"/>
      <c r="J91"/>
      <c r="M91"/>
      <c r="P91"/>
      <c r="S91"/>
    </row>
    <row r="92" spans="4:19">
      <c r="D92"/>
      <c r="J92"/>
      <c r="M92"/>
      <c r="P92"/>
      <c r="S92"/>
    </row>
    <row r="93" spans="4:19">
      <c r="D93"/>
      <c r="J93"/>
      <c r="M93"/>
      <c r="P93"/>
      <c r="S93"/>
    </row>
    <row r="94" spans="4:19">
      <c r="D94"/>
      <c r="J94"/>
      <c r="M94"/>
      <c r="P94"/>
      <c r="S94"/>
    </row>
    <row r="95" spans="4:19">
      <c r="D95"/>
      <c r="J95"/>
      <c r="M95"/>
      <c r="P95"/>
      <c r="S95"/>
    </row>
    <row r="96" spans="4:19">
      <c r="D96"/>
      <c r="J96"/>
      <c r="M96"/>
      <c r="P96"/>
      <c r="S96"/>
    </row>
    <row r="97" spans="4:19">
      <c r="D97"/>
      <c r="J97"/>
      <c r="M97"/>
      <c r="P97"/>
      <c r="S97"/>
    </row>
    <row r="98" spans="4:19">
      <c r="D98"/>
      <c r="J98"/>
      <c r="M98"/>
      <c r="P98"/>
      <c r="S98"/>
    </row>
    <row r="99" spans="4:19">
      <c r="D99"/>
      <c r="J99"/>
      <c r="M99"/>
      <c r="P99"/>
      <c r="S99"/>
    </row>
    <row r="100" spans="4:19">
      <c r="D100"/>
      <c r="J100"/>
      <c r="M100"/>
      <c r="P100"/>
      <c r="S100"/>
    </row>
    <row r="101" spans="4:19">
      <c r="D101"/>
      <c r="J101"/>
      <c r="M101"/>
      <c r="P101"/>
      <c r="S101"/>
    </row>
    <row r="102" spans="4:19">
      <c r="D102"/>
      <c r="J102"/>
      <c r="M102"/>
      <c r="P102"/>
      <c r="S102"/>
    </row>
    <row r="103" spans="4:19">
      <c r="D103"/>
      <c r="J103"/>
      <c r="M103"/>
      <c r="P103"/>
      <c r="S103"/>
    </row>
    <row r="104" spans="4:19">
      <c r="D104"/>
      <c r="J104"/>
      <c r="M104"/>
      <c r="P104"/>
      <c r="S104"/>
    </row>
    <row r="105" spans="4:19">
      <c r="D105"/>
      <c r="J105"/>
      <c r="M105"/>
      <c r="P105"/>
      <c r="S105"/>
    </row>
    <row r="106" spans="4:19">
      <c r="D106"/>
      <c r="J106"/>
      <c r="M106"/>
      <c r="P106"/>
      <c r="S106"/>
    </row>
    <row r="107" spans="4:19">
      <c r="D107"/>
      <c r="J107"/>
      <c r="M107"/>
      <c r="P107"/>
      <c r="S107"/>
    </row>
    <row r="108" spans="4:19">
      <c r="D108"/>
      <c r="J108"/>
      <c r="M108"/>
      <c r="P108"/>
      <c r="S108"/>
    </row>
    <row r="109" spans="4:19">
      <c r="D109"/>
      <c r="J109"/>
      <c r="M109"/>
      <c r="P109"/>
      <c r="S109"/>
    </row>
    <row r="110" spans="4:19">
      <c r="D110"/>
      <c r="J110"/>
      <c r="M110"/>
      <c r="P110"/>
      <c r="S110"/>
    </row>
    <row r="111" spans="4:19">
      <c r="D111"/>
      <c r="J111"/>
      <c r="M111"/>
      <c r="P111"/>
      <c r="S111"/>
    </row>
    <row r="112" spans="4:19">
      <c r="D112"/>
      <c r="J112"/>
      <c r="M112"/>
      <c r="P112"/>
      <c r="S112"/>
    </row>
    <row r="113" spans="4:19">
      <c r="D113"/>
      <c r="J113"/>
      <c r="M113"/>
      <c r="P113"/>
      <c r="S113"/>
    </row>
    <row r="114" spans="4:19">
      <c r="D114"/>
      <c r="J114"/>
      <c r="M114"/>
      <c r="P114"/>
      <c r="S114"/>
    </row>
    <row r="115" spans="4:19">
      <c r="D115"/>
      <c r="J115"/>
      <c r="M115"/>
      <c r="P115"/>
      <c r="S115"/>
    </row>
    <row r="116" spans="4:19">
      <c r="D116"/>
      <c r="J116"/>
      <c r="M116"/>
      <c r="P116"/>
      <c r="S116"/>
    </row>
    <row r="117" spans="4:19">
      <c r="D117"/>
      <c r="J117"/>
      <c r="M117"/>
      <c r="P117"/>
      <c r="S117"/>
    </row>
    <row r="118" spans="4:19">
      <c r="D118"/>
      <c r="J118"/>
      <c r="M118"/>
      <c r="P118"/>
      <c r="S118"/>
    </row>
    <row r="119" spans="4:19">
      <c r="D119"/>
      <c r="J119"/>
      <c r="M119"/>
      <c r="P119"/>
      <c r="S119"/>
    </row>
    <row r="120" spans="4:19">
      <c r="D120"/>
      <c r="J120"/>
      <c r="M120"/>
      <c r="P120"/>
      <c r="S120"/>
    </row>
    <row r="121" spans="4:19">
      <c r="D121"/>
      <c r="J121"/>
      <c r="M121"/>
      <c r="P121"/>
      <c r="S121"/>
    </row>
    <row r="122" spans="4:19">
      <c r="D122"/>
      <c r="J122"/>
      <c r="M122"/>
      <c r="P122"/>
      <c r="S122"/>
    </row>
    <row r="123" spans="4:19">
      <c r="D123"/>
      <c r="J123"/>
      <c r="M123"/>
      <c r="P123"/>
      <c r="S123"/>
    </row>
    <row r="124" spans="4:19">
      <c r="D124"/>
      <c r="J124"/>
      <c r="M124"/>
      <c r="P124"/>
      <c r="S124"/>
    </row>
    <row r="125" spans="4:19">
      <c r="D125"/>
      <c r="J125"/>
      <c r="M125"/>
      <c r="P125"/>
      <c r="S125"/>
    </row>
    <row r="126" spans="4:19">
      <c r="D126"/>
      <c r="J126"/>
      <c r="M126"/>
      <c r="P126"/>
      <c r="S126"/>
    </row>
    <row r="127" spans="4:19">
      <c r="D127"/>
      <c r="J127"/>
      <c r="M127"/>
      <c r="P127"/>
      <c r="S127"/>
    </row>
    <row r="128" spans="4:19">
      <c r="D128"/>
      <c r="J128"/>
      <c r="M128"/>
      <c r="P128"/>
      <c r="S128"/>
    </row>
    <row r="129" spans="4:19">
      <c r="D129"/>
      <c r="J129"/>
      <c r="M129"/>
      <c r="P129"/>
      <c r="S129"/>
    </row>
    <row r="130" spans="4:19">
      <c r="D130"/>
      <c r="J130"/>
      <c r="M130"/>
      <c r="P130"/>
      <c r="S130"/>
    </row>
    <row r="131" spans="4:19">
      <c r="D131"/>
      <c r="J131"/>
      <c r="M131"/>
      <c r="P131"/>
      <c r="S131"/>
    </row>
    <row r="132" spans="4:19">
      <c r="D132"/>
      <c r="J132"/>
      <c r="M132"/>
      <c r="P132"/>
      <c r="S132"/>
    </row>
    <row r="133" spans="4:19">
      <c r="D133"/>
      <c r="J133"/>
      <c r="M133"/>
      <c r="P133"/>
      <c r="S133"/>
    </row>
    <row r="134" spans="4:19">
      <c r="D134"/>
      <c r="J134"/>
      <c r="M134"/>
      <c r="P134"/>
      <c r="S134"/>
    </row>
    <row r="135" spans="4:19">
      <c r="D135"/>
      <c r="J135"/>
      <c r="M135"/>
      <c r="P135"/>
      <c r="S135"/>
    </row>
    <row r="136" spans="4:19">
      <c r="D136"/>
      <c r="J136"/>
      <c r="M136"/>
      <c r="P136"/>
      <c r="S136"/>
    </row>
    <row r="137" spans="4:19">
      <c r="D137"/>
      <c r="J137"/>
      <c r="M137"/>
      <c r="P137"/>
      <c r="S137"/>
    </row>
    <row r="138" spans="4:19">
      <c r="D138"/>
      <c r="J138"/>
      <c r="M138"/>
      <c r="P138"/>
      <c r="S138"/>
    </row>
    <row r="139" spans="4:19">
      <c r="D139"/>
      <c r="J139"/>
      <c r="M139"/>
      <c r="P139"/>
      <c r="S139"/>
    </row>
    <row r="140" spans="4:19">
      <c r="D140"/>
      <c r="J140"/>
      <c r="M140"/>
      <c r="P140"/>
      <c r="S140"/>
    </row>
    <row r="141" spans="4:19">
      <c r="D141"/>
      <c r="J141"/>
      <c r="M141"/>
      <c r="P141"/>
      <c r="S141"/>
    </row>
    <row r="142" spans="4:19">
      <c r="D142"/>
      <c r="J142"/>
      <c r="M142"/>
      <c r="P142"/>
      <c r="S142"/>
    </row>
    <row r="143" spans="4:19">
      <c r="D143"/>
      <c r="J143"/>
      <c r="M143"/>
      <c r="P143"/>
      <c r="S143"/>
    </row>
    <row r="144" spans="4:19">
      <c r="D144"/>
      <c r="J144"/>
      <c r="M144"/>
      <c r="P144"/>
      <c r="S144"/>
    </row>
    <row r="145" spans="4:19">
      <c r="D145"/>
      <c r="J145"/>
      <c r="M145"/>
      <c r="P145"/>
      <c r="S145"/>
    </row>
    <row r="146" spans="4:19">
      <c r="D146"/>
      <c r="J146"/>
      <c r="M146"/>
      <c r="P146"/>
      <c r="S146"/>
    </row>
    <row r="147" spans="4:19">
      <c r="D147"/>
      <c r="J147"/>
      <c r="M147"/>
      <c r="P147"/>
      <c r="S147"/>
    </row>
    <row r="148" spans="4:19">
      <c r="D148"/>
      <c r="J148"/>
      <c r="M148"/>
      <c r="P148"/>
      <c r="S148"/>
    </row>
    <row r="149" spans="4:19">
      <c r="D149"/>
      <c r="J149"/>
      <c r="M149"/>
      <c r="P149"/>
      <c r="S149"/>
    </row>
    <row r="150" spans="4:19">
      <c r="D150"/>
      <c r="J150"/>
      <c r="M150"/>
      <c r="P150"/>
      <c r="S150"/>
    </row>
    <row r="151" spans="4:19">
      <c r="D151"/>
      <c r="J151"/>
      <c r="M151"/>
      <c r="P151"/>
      <c r="S151"/>
    </row>
    <row r="152" spans="4:19">
      <c r="D152"/>
      <c r="J152"/>
      <c r="M152"/>
      <c r="P152"/>
      <c r="S152"/>
    </row>
    <row r="153" spans="4:19">
      <c r="D153"/>
      <c r="J153"/>
      <c r="M153"/>
      <c r="P153"/>
      <c r="S153"/>
    </row>
    <row r="154" spans="4:19">
      <c r="D154"/>
      <c r="J154"/>
      <c r="M154"/>
      <c r="P154"/>
      <c r="S154"/>
    </row>
    <row r="155" spans="4:19">
      <c r="D155"/>
      <c r="J155"/>
      <c r="M155"/>
      <c r="P155"/>
      <c r="S155"/>
    </row>
    <row r="156" spans="4:19">
      <c r="D156"/>
      <c r="J156"/>
      <c r="M156"/>
      <c r="P156"/>
      <c r="S156"/>
    </row>
    <row r="157" spans="4:19">
      <c r="D157"/>
      <c r="J157"/>
      <c r="M157"/>
      <c r="P157"/>
      <c r="S157"/>
    </row>
    <row r="158" spans="4:19">
      <c r="D158"/>
      <c r="J158"/>
      <c r="M158"/>
      <c r="P158"/>
      <c r="S158"/>
    </row>
    <row r="159" spans="4:19">
      <c r="D159"/>
      <c r="J159"/>
      <c r="M159"/>
      <c r="P159"/>
      <c r="S159"/>
    </row>
    <row r="160" spans="4:19">
      <c r="D160"/>
      <c r="J160"/>
      <c r="M160"/>
      <c r="P160"/>
      <c r="S160"/>
    </row>
    <row r="161" spans="4:19">
      <c r="D161"/>
      <c r="J161"/>
      <c r="M161"/>
      <c r="P161"/>
      <c r="S161"/>
    </row>
    <row r="162" spans="4:19">
      <c r="D162"/>
      <c r="J162"/>
      <c r="M162"/>
      <c r="P162"/>
      <c r="S162"/>
    </row>
    <row r="163" spans="4:19">
      <c r="D163"/>
      <c r="J163"/>
      <c r="M163"/>
      <c r="P163"/>
      <c r="S163"/>
    </row>
    <row r="164" spans="4:19">
      <c r="D164"/>
      <c r="J164"/>
      <c r="M164"/>
      <c r="P164"/>
      <c r="S164"/>
    </row>
    <row r="165" spans="4:19">
      <c r="D165"/>
      <c r="J165"/>
      <c r="M165"/>
      <c r="P165"/>
      <c r="S165"/>
    </row>
    <row r="166" spans="4:19">
      <c r="D166"/>
      <c r="J166"/>
      <c r="M166"/>
      <c r="P166"/>
      <c r="S166"/>
    </row>
    <row r="167" spans="4:19">
      <c r="D167"/>
      <c r="J167"/>
      <c r="M167"/>
      <c r="P167"/>
      <c r="S167"/>
    </row>
    <row r="168" spans="4:19">
      <c r="D168"/>
      <c r="J168"/>
      <c r="M168"/>
      <c r="P168"/>
      <c r="S168"/>
    </row>
    <row r="169" spans="4:19">
      <c r="D169"/>
      <c r="J169"/>
      <c r="M169"/>
      <c r="P169"/>
      <c r="S169"/>
    </row>
    <row r="170" spans="4:19">
      <c r="D170"/>
      <c r="J170"/>
      <c r="M170"/>
      <c r="P170"/>
      <c r="S170"/>
    </row>
    <row r="171" spans="4:19">
      <c r="D171"/>
      <c r="J171"/>
      <c r="M171"/>
      <c r="P171"/>
      <c r="S171"/>
    </row>
    <row r="172" spans="4:19">
      <c r="D172"/>
      <c r="J172"/>
      <c r="M172"/>
      <c r="P172"/>
      <c r="S172"/>
    </row>
    <row r="173" spans="4:19">
      <c r="D173"/>
      <c r="J173"/>
      <c r="M173"/>
      <c r="P173"/>
      <c r="S173"/>
    </row>
    <row r="174" spans="4:19">
      <c r="D174"/>
      <c r="J174"/>
      <c r="M174"/>
      <c r="P174"/>
      <c r="S174"/>
    </row>
    <row r="175" spans="4:19">
      <c r="D175"/>
      <c r="J175"/>
      <c r="M175"/>
      <c r="P175"/>
      <c r="S175"/>
    </row>
    <row r="176" spans="4:19">
      <c r="D176"/>
      <c r="J176"/>
      <c r="M176"/>
      <c r="P176"/>
      <c r="S176"/>
    </row>
    <row r="177" spans="4:19">
      <c r="D177"/>
      <c r="J177"/>
      <c r="M177"/>
      <c r="P177"/>
      <c r="S177"/>
    </row>
    <row r="178" spans="4:19">
      <c r="D178"/>
      <c r="J178"/>
      <c r="M178"/>
      <c r="P178"/>
      <c r="S178"/>
    </row>
    <row r="179" spans="4:19">
      <c r="D179"/>
      <c r="J179"/>
      <c r="M179"/>
      <c r="P179"/>
      <c r="S179"/>
    </row>
    <row r="180" spans="4:19">
      <c r="D180"/>
      <c r="J180"/>
      <c r="M180"/>
      <c r="P180"/>
      <c r="S180"/>
    </row>
    <row r="181" spans="4:19">
      <c r="D181"/>
      <c r="J181"/>
      <c r="M181"/>
      <c r="P181"/>
      <c r="S181"/>
    </row>
    <row r="182" spans="4:19">
      <c r="D182"/>
      <c r="J182"/>
      <c r="M182"/>
      <c r="P182"/>
      <c r="S182"/>
    </row>
    <row r="183" spans="4:19">
      <c r="D183"/>
      <c r="J183"/>
      <c r="M183"/>
      <c r="P183"/>
      <c r="S183"/>
    </row>
    <row r="184" spans="4:19">
      <c r="D184"/>
      <c r="J184"/>
      <c r="M184"/>
      <c r="P184"/>
      <c r="S184"/>
    </row>
    <row r="185" spans="4:19">
      <c r="D185"/>
      <c r="J185"/>
      <c r="M185"/>
      <c r="P185"/>
      <c r="S185"/>
    </row>
    <row r="186" spans="4:19">
      <c r="D186"/>
      <c r="J186"/>
      <c r="M186"/>
      <c r="P186"/>
      <c r="S186"/>
    </row>
    <row r="187" spans="4:19">
      <c r="D187"/>
      <c r="J187"/>
      <c r="M187"/>
      <c r="P187"/>
      <c r="S187"/>
    </row>
    <row r="188" spans="4:19">
      <c r="D188"/>
      <c r="J188"/>
      <c r="M188"/>
      <c r="P188"/>
      <c r="S188"/>
    </row>
    <row r="189" spans="4:19">
      <c r="D189"/>
      <c r="J189"/>
      <c r="M189"/>
      <c r="P189"/>
      <c r="S189"/>
    </row>
    <row r="190" spans="4:19">
      <c r="D190"/>
      <c r="J190"/>
      <c r="M190"/>
      <c r="P190"/>
      <c r="S190"/>
    </row>
    <row r="191" spans="4:19">
      <c r="D191"/>
      <c r="J191"/>
      <c r="M191"/>
      <c r="P191"/>
      <c r="S191"/>
    </row>
    <row r="192" spans="4:19">
      <c r="D192"/>
      <c r="J192"/>
      <c r="M192"/>
      <c r="P192"/>
      <c r="S192"/>
    </row>
    <row r="193" spans="4:19">
      <c r="D193"/>
      <c r="J193"/>
      <c r="M193"/>
      <c r="P193"/>
      <c r="S193"/>
    </row>
    <row r="194" spans="4:19">
      <c r="D194"/>
      <c r="J194"/>
      <c r="M194"/>
      <c r="P194"/>
      <c r="S194"/>
    </row>
    <row r="195" spans="4:19">
      <c r="D195"/>
      <c r="J195"/>
      <c r="M195"/>
      <c r="P195"/>
      <c r="S195"/>
    </row>
    <row r="196" spans="4:19">
      <c r="D196"/>
      <c r="J196"/>
      <c r="M196"/>
      <c r="P196"/>
      <c r="S196"/>
    </row>
    <row r="197" spans="4:19">
      <c r="D197"/>
      <c r="J197"/>
      <c r="M197"/>
      <c r="P197"/>
      <c r="S197"/>
    </row>
    <row r="198" spans="4:19">
      <c r="D198"/>
      <c r="J198"/>
      <c r="M198"/>
      <c r="P198"/>
      <c r="S198"/>
    </row>
    <row r="199" spans="4:19">
      <c r="D199"/>
      <c r="J199"/>
      <c r="M199"/>
      <c r="P199"/>
      <c r="S199"/>
    </row>
    <row r="200" spans="4:19">
      <c r="D200"/>
      <c r="J200"/>
      <c r="M200"/>
      <c r="P200"/>
      <c r="S200"/>
    </row>
    <row r="201" spans="4:19">
      <c r="D201"/>
      <c r="J201"/>
      <c r="M201"/>
      <c r="P201"/>
      <c r="S201"/>
    </row>
    <row r="202" spans="4:19">
      <c r="D202"/>
      <c r="J202"/>
      <c r="M202"/>
      <c r="P202"/>
      <c r="S202"/>
    </row>
    <row r="203" spans="4:19">
      <c r="D203"/>
      <c r="J203"/>
      <c r="M203"/>
      <c r="P203"/>
      <c r="S203"/>
    </row>
    <row r="204" spans="4:19">
      <c r="D204"/>
      <c r="J204"/>
      <c r="M204"/>
      <c r="P204"/>
      <c r="S204"/>
    </row>
    <row r="205" spans="4:19">
      <c r="D205"/>
      <c r="J205"/>
      <c r="M205"/>
      <c r="P205"/>
      <c r="S205"/>
    </row>
    <row r="206" spans="4:19">
      <c r="D206"/>
      <c r="J206"/>
      <c r="M206"/>
      <c r="P206"/>
      <c r="S206"/>
    </row>
    <row r="207" spans="4:19">
      <c r="D207"/>
      <c r="J207"/>
      <c r="M207"/>
      <c r="P207"/>
      <c r="S207"/>
    </row>
    <row r="208" spans="4:19">
      <c r="D208"/>
      <c r="J208"/>
      <c r="M208"/>
      <c r="P208"/>
      <c r="S208"/>
    </row>
    <row r="209" spans="4:19">
      <c r="D209"/>
      <c r="J209"/>
      <c r="M209"/>
      <c r="P209"/>
      <c r="S209"/>
    </row>
    <row r="210" spans="4:19">
      <c r="D210"/>
      <c r="J210"/>
      <c r="M210"/>
      <c r="P210"/>
      <c r="S210"/>
    </row>
    <row r="211" spans="4:19">
      <c r="D211"/>
      <c r="J211"/>
      <c r="M211"/>
      <c r="P211"/>
      <c r="S211"/>
    </row>
    <row r="212" spans="4:19">
      <c r="D212"/>
      <c r="J212"/>
      <c r="M212"/>
      <c r="P212"/>
      <c r="S212"/>
    </row>
    <row r="213" spans="4:19">
      <c r="D213"/>
      <c r="J213"/>
      <c r="M213"/>
      <c r="P213"/>
      <c r="S213"/>
    </row>
    <row r="214" spans="4:19">
      <c r="D214"/>
      <c r="J214"/>
      <c r="M214"/>
      <c r="P214"/>
      <c r="S214"/>
    </row>
    <row r="215" spans="4:19">
      <c r="D215"/>
      <c r="J215"/>
      <c r="M215"/>
      <c r="P215"/>
      <c r="S215"/>
    </row>
    <row r="216" spans="4:19">
      <c r="D216"/>
      <c r="J216"/>
      <c r="M216"/>
      <c r="P216"/>
      <c r="S216"/>
    </row>
    <row r="217" spans="4:19">
      <c r="D217"/>
      <c r="J217"/>
      <c r="M217"/>
      <c r="P217"/>
      <c r="S217"/>
    </row>
    <row r="218" spans="4:19">
      <c r="D218"/>
      <c r="J218"/>
      <c r="M218"/>
      <c r="P218"/>
      <c r="S218"/>
    </row>
    <row r="219" spans="4:19">
      <c r="D219"/>
      <c r="J219"/>
      <c r="M219"/>
      <c r="P219"/>
      <c r="S219"/>
    </row>
    <row r="220" spans="4:19">
      <c r="D220"/>
      <c r="J220"/>
      <c r="M220"/>
      <c r="P220"/>
      <c r="S220"/>
    </row>
    <row r="221" spans="4:19">
      <c r="D221"/>
      <c r="J221"/>
      <c r="M221"/>
      <c r="P221"/>
      <c r="S221"/>
    </row>
    <row r="222" spans="4:19">
      <c r="D222"/>
      <c r="J222"/>
      <c r="M222"/>
      <c r="P222"/>
      <c r="S222"/>
    </row>
    <row r="223" spans="4:19">
      <c r="D223"/>
      <c r="J223"/>
      <c r="M223"/>
      <c r="P223"/>
      <c r="S223"/>
    </row>
    <row r="224" spans="4:19">
      <c r="D224"/>
      <c r="J224"/>
      <c r="M224"/>
      <c r="P224"/>
      <c r="S224"/>
    </row>
    <row r="225" spans="4:19">
      <c r="D225"/>
      <c r="J225"/>
      <c r="M225"/>
      <c r="P225"/>
      <c r="S225"/>
    </row>
    <row r="226" spans="4:19">
      <c r="D226"/>
      <c r="J226"/>
      <c r="M226"/>
      <c r="P226"/>
      <c r="S226"/>
    </row>
    <row r="227" spans="4:19">
      <c r="D227"/>
      <c r="J227"/>
      <c r="M227"/>
      <c r="P227"/>
      <c r="S227"/>
    </row>
    <row r="228" spans="4:19">
      <c r="D228"/>
      <c r="J228"/>
      <c r="M228"/>
      <c r="P228"/>
      <c r="S228"/>
    </row>
    <row r="229" spans="4:19">
      <c r="D229"/>
      <c r="J229"/>
      <c r="M229"/>
      <c r="P229"/>
      <c r="S229"/>
    </row>
    <row r="230" spans="4:19">
      <c r="D230"/>
      <c r="J230"/>
      <c r="M230"/>
      <c r="P230"/>
      <c r="S230"/>
    </row>
    <row r="231" spans="4:19">
      <c r="D231"/>
      <c r="J231"/>
      <c r="M231"/>
      <c r="P231"/>
      <c r="S231"/>
    </row>
    <row r="232" spans="4:19">
      <c r="D232"/>
      <c r="J232"/>
      <c r="M232"/>
      <c r="P232"/>
      <c r="S232"/>
    </row>
    <row r="233" spans="4:19">
      <c r="D233"/>
      <c r="J233"/>
      <c r="M233"/>
      <c r="P233"/>
      <c r="S233"/>
    </row>
    <row r="234" spans="4:19">
      <c r="D234"/>
      <c r="J234"/>
      <c r="M234"/>
      <c r="P234"/>
      <c r="S234"/>
    </row>
    <row r="235" spans="4:19">
      <c r="D235"/>
      <c r="J235"/>
      <c r="M235"/>
      <c r="P235"/>
      <c r="S235"/>
    </row>
    <row r="236" spans="4:19">
      <c r="D236"/>
      <c r="J236"/>
      <c r="M236"/>
      <c r="P236"/>
      <c r="S236"/>
    </row>
    <row r="237" spans="4:19">
      <c r="D237"/>
      <c r="J237"/>
      <c r="M237"/>
      <c r="P237"/>
      <c r="S237"/>
    </row>
    <row r="238" spans="4:19">
      <c r="D238"/>
      <c r="J238"/>
      <c r="M238"/>
      <c r="P238"/>
      <c r="S238"/>
    </row>
    <row r="239" spans="4:19">
      <c r="D239"/>
      <c r="J239"/>
      <c r="M239"/>
      <c r="P239"/>
      <c r="S239"/>
    </row>
    <row r="240" spans="4:19">
      <c r="D240"/>
      <c r="J240"/>
      <c r="M240"/>
      <c r="P240"/>
      <c r="S240"/>
    </row>
    <row r="241" spans="4:19">
      <c r="D241"/>
      <c r="J241"/>
      <c r="M241"/>
      <c r="P241"/>
      <c r="S241"/>
    </row>
    <row r="242" spans="4:19">
      <c r="D242"/>
      <c r="J242"/>
      <c r="M242"/>
      <c r="P242"/>
      <c r="S242"/>
    </row>
    <row r="243" spans="4:19">
      <c r="D243"/>
      <c r="J243"/>
      <c r="M243"/>
      <c r="P243"/>
      <c r="S243"/>
    </row>
    <row r="244" spans="4:19">
      <c r="D244"/>
      <c r="J244"/>
      <c r="M244"/>
      <c r="P244"/>
      <c r="S244"/>
    </row>
    <row r="245" spans="4:19">
      <c r="D245"/>
      <c r="J245"/>
      <c r="M245"/>
      <c r="P245"/>
      <c r="S245"/>
    </row>
    <row r="246" spans="4:19">
      <c r="D246"/>
      <c r="J246"/>
      <c r="M246"/>
      <c r="P246"/>
      <c r="S246"/>
    </row>
    <row r="247" spans="4:19">
      <c r="D247"/>
      <c r="J247"/>
      <c r="M247"/>
      <c r="P247"/>
      <c r="S247"/>
    </row>
    <row r="248" spans="4:19">
      <c r="D248"/>
      <c r="J248"/>
      <c r="M248"/>
      <c r="P248"/>
      <c r="S248"/>
    </row>
    <row r="249" spans="4:19">
      <c r="D249"/>
      <c r="J249"/>
      <c r="M249"/>
      <c r="P249"/>
      <c r="S249"/>
    </row>
    <row r="250" spans="4:19">
      <c r="D250"/>
      <c r="J250"/>
      <c r="M250"/>
      <c r="P250"/>
      <c r="S250"/>
    </row>
    <row r="251" spans="4:19">
      <c r="D251"/>
      <c r="J251"/>
      <c r="M251"/>
      <c r="P251"/>
      <c r="S251"/>
    </row>
    <row r="252" spans="4:19">
      <c r="D252"/>
      <c r="J252"/>
      <c r="M252"/>
      <c r="P252"/>
      <c r="S252"/>
    </row>
    <row r="253" spans="4:19">
      <c r="D253"/>
      <c r="J253"/>
      <c r="M253"/>
      <c r="P253"/>
      <c r="S253"/>
    </row>
    <row r="254" spans="4:19">
      <c r="D254"/>
      <c r="J254"/>
      <c r="M254"/>
      <c r="P254"/>
      <c r="S254"/>
    </row>
    <row r="255" spans="4:19">
      <c r="D255"/>
      <c r="J255"/>
      <c r="M255"/>
      <c r="P255"/>
      <c r="S255"/>
    </row>
    <row r="256" spans="4:19">
      <c r="D256"/>
      <c r="J256"/>
      <c r="M256"/>
      <c r="P256"/>
      <c r="S256"/>
    </row>
    <row r="257" spans="4:19">
      <c r="D257"/>
      <c r="J257"/>
      <c r="M257"/>
      <c r="P257"/>
      <c r="S257"/>
    </row>
    <row r="258" spans="4:19">
      <c r="D258"/>
      <c r="J258"/>
      <c r="M258"/>
      <c r="P258"/>
      <c r="S258"/>
    </row>
    <row r="259" spans="4:19">
      <c r="D259"/>
      <c r="J259"/>
      <c r="M259"/>
      <c r="P259"/>
      <c r="S259"/>
    </row>
    <row r="260" spans="4:19">
      <c r="D260"/>
      <c r="J260"/>
      <c r="M260"/>
      <c r="P260"/>
      <c r="S260"/>
    </row>
    <row r="261" spans="4:19">
      <c r="D261"/>
      <c r="J261"/>
      <c r="M261"/>
      <c r="P261"/>
      <c r="S261"/>
    </row>
    <row r="262" spans="4:19">
      <c r="D262"/>
      <c r="J262"/>
      <c r="M262"/>
      <c r="P262"/>
      <c r="S262"/>
    </row>
    <row r="263" spans="4:19">
      <c r="D263"/>
      <c r="J263"/>
      <c r="M263"/>
      <c r="P263"/>
      <c r="S263"/>
    </row>
    <row r="264" spans="4:19">
      <c r="D264"/>
      <c r="J264"/>
      <c r="M264"/>
      <c r="P264"/>
      <c r="S264"/>
    </row>
    <row r="265" spans="4:19">
      <c r="D265"/>
      <c r="J265"/>
      <c r="M265"/>
      <c r="P265"/>
      <c r="S265"/>
    </row>
    <row r="266" spans="4:19">
      <c r="D266"/>
      <c r="J266"/>
      <c r="M266"/>
      <c r="P266"/>
      <c r="S266"/>
    </row>
    <row r="267" spans="4:19">
      <c r="D267"/>
      <c r="J267"/>
      <c r="M267"/>
      <c r="P267"/>
      <c r="S267"/>
    </row>
    <row r="268" spans="4:19">
      <c r="D268"/>
      <c r="J268"/>
      <c r="M268"/>
      <c r="P268"/>
      <c r="S268"/>
    </row>
    <row r="269" spans="4:19">
      <c r="D269"/>
      <c r="J269"/>
      <c r="M269"/>
      <c r="P269"/>
      <c r="S269"/>
    </row>
    <row r="270" spans="4:19">
      <c r="D270"/>
      <c r="J270"/>
      <c r="M270"/>
      <c r="P270"/>
      <c r="S270"/>
    </row>
    <row r="271" spans="4:19">
      <c r="D271"/>
      <c r="J271"/>
      <c r="M271"/>
      <c r="P271"/>
      <c r="S271"/>
    </row>
    <row r="272" spans="4:19">
      <c r="D272"/>
      <c r="J272"/>
      <c r="M272"/>
      <c r="P272"/>
      <c r="S272"/>
    </row>
    <row r="273" spans="4:19">
      <c r="D273"/>
      <c r="J273"/>
      <c r="M273"/>
      <c r="P273"/>
      <c r="S273"/>
    </row>
    <row r="274" spans="4:19">
      <c r="D274"/>
      <c r="J274"/>
      <c r="M274"/>
      <c r="P274"/>
      <c r="S274"/>
    </row>
    <row r="275" spans="4:19">
      <c r="D275"/>
      <c r="J275"/>
      <c r="M275"/>
      <c r="P275"/>
      <c r="S275"/>
    </row>
    <row r="276" spans="4:19">
      <c r="D276"/>
      <c r="J276"/>
      <c r="M276"/>
      <c r="P276"/>
      <c r="S276"/>
    </row>
    <row r="277" spans="4:19">
      <c r="D277"/>
      <c r="J277"/>
      <c r="M277"/>
      <c r="P277"/>
      <c r="S277"/>
    </row>
    <row r="278" spans="4:19">
      <c r="D278"/>
      <c r="J278"/>
      <c r="M278"/>
      <c r="P278"/>
      <c r="S278"/>
    </row>
    <row r="279" spans="4:19">
      <c r="D279"/>
      <c r="J279"/>
      <c r="M279"/>
      <c r="P279"/>
      <c r="S279"/>
    </row>
    <row r="280" spans="4:19">
      <c r="D280"/>
      <c r="J280"/>
      <c r="M280"/>
      <c r="P280"/>
      <c r="S280"/>
    </row>
    <row r="281" spans="4:19">
      <c r="D281"/>
      <c r="J281"/>
      <c r="M281"/>
      <c r="P281"/>
      <c r="S281"/>
    </row>
    <row r="282" spans="4:19">
      <c r="D282"/>
      <c r="J282"/>
      <c r="M282"/>
      <c r="P282"/>
      <c r="S282"/>
    </row>
    <row r="283" spans="4:19">
      <c r="D283"/>
      <c r="J283"/>
      <c r="M283"/>
      <c r="P283"/>
      <c r="S283"/>
    </row>
    <row r="284" spans="4:19">
      <c r="D284"/>
      <c r="J284"/>
      <c r="M284"/>
      <c r="P284"/>
      <c r="S284"/>
    </row>
    <row r="285" spans="4:19">
      <c r="D285"/>
      <c r="J285"/>
      <c r="M285"/>
      <c r="P285"/>
      <c r="S285"/>
    </row>
    <row r="286" spans="4:19">
      <c r="D286"/>
      <c r="J286"/>
      <c r="M286"/>
      <c r="P286"/>
      <c r="S286"/>
    </row>
    <row r="287" spans="4:19">
      <c r="D287"/>
      <c r="J287"/>
      <c r="M287"/>
      <c r="P287"/>
      <c r="S287"/>
    </row>
  </sheetData>
  <mergeCells count="12">
    <mergeCell ref="V65:W65"/>
    <mergeCell ref="V66:W66"/>
    <mergeCell ref="T4:U4"/>
    <mergeCell ref="T66:U66"/>
    <mergeCell ref="T65:U65"/>
    <mergeCell ref="V4:W4"/>
    <mergeCell ref="Z4:AA4"/>
    <mergeCell ref="Z65:AA65"/>
    <mergeCell ref="Z66:AA66"/>
    <mergeCell ref="X4:Y4"/>
    <mergeCell ref="X65:Y65"/>
    <mergeCell ref="X66:Y66"/>
  </mergeCells>
  <phoneticPr fontId="0" type="noConversion"/>
  <pageMargins left="0.5" right="0.5" top="0.5" bottom="0.5" header="0.5" footer="0.5"/>
  <pageSetup scale="74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3">
    <pageSetUpPr fitToPage="1"/>
  </sheetPr>
  <dimension ref="A1:W233"/>
  <sheetViews>
    <sheetView workbookViewId="0">
      <selection activeCell="E23" sqref="E23"/>
    </sheetView>
  </sheetViews>
  <sheetFormatPr defaultRowHeight="12.75"/>
  <cols>
    <col min="1" max="1" width="10.42578125" customWidth="1"/>
    <col min="2" max="2" width="10.5703125" customWidth="1"/>
    <col min="3" max="3" width="12.28515625" customWidth="1"/>
    <col min="6" max="6" width="9.140625" style="42"/>
    <col min="9" max="9" width="9.28515625" style="42" bestFit="1" customWidth="1"/>
    <col min="12" max="12" width="9.28515625" style="42" bestFit="1" customWidth="1"/>
    <col min="15" max="15" width="9.28515625" style="42" bestFit="1" customWidth="1"/>
    <col min="16" max="16" width="11.85546875" customWidth="1"/>
    <col min="17" max="17" width="9.28515625" bestFit="1" customWidth="1"/>
    <col min="18" max="18" width="53.7109375" customWidth="1"/>
    <col min="21" max="23" width="10.5703125" customWidth="1"/>
  </cols>
  <sheetData>
    <row r="1" spans="1:23" ht="23.25">
      <c r="A1" s="362" t="s">
        <v>51</v>
      </c>
      <c r="C1" s="94"/>
      <c r="E1" s="35"/>
      <c r="F1" s="92"/>
      <c r="I1" s="92"/>
      <c r="L1" s="94"/>
      <c r="O1" s="94"/>
    </row>
    <row r="2" spans="1:23" ht="20.25">
      <c r="A2" s="83"/>
      <c r="C2" s="94"/>
      <c r="D2" s="136" t="str">
        <f>'CASH FLOW'!$D$2</f>
        <v>JAN</v>
      </c>
      <c r="E2" s="136" t="str">
        <f>'CASH FLOW'!$E$2</f>
        <v>FEB</v>
      </c>
      <c r="F2" s="137" t="str">
        <f>'CASH FLOW'!$F$2</f>
        <v>MAR</v>
      </c>
      <c r="G2" s="136" t="str">
        <f>'CASH FLOW'!$G$2</f>
        <v>APR</v>
      </c>
      <c r="H2" s="136" t="str">
        <f>'CASH FLOW'!$H$2</f>
        <v>MAY</v>
      </c>
      <c r="I2" s="137" t="str">
        <f>'CASH FLOW'!$I$2</f>
        <v>JUN</v>
      </c>
      <c r="J2" s="136" t="str">
        <f>'CASH FLOW'!$J$2</f>
        <v>JUL</v>
      </c>
      <c r="K2" s="136" t="str">
        <f>'CASH FLOW'!$K$2</f>
        <v>AUG</v>
      </c>
      <c r="L2" s="137" t="str">
        <f>'CASH FLOW'!$L$2</f>
        <v>SEP</v>
      </c>
      <c r="M2" s="136" t="str">
        <f>'CASH FLOW'!$M$2</f>
        <v>OCT</v>
      </c>
      <c r="N2" s="136" t="str">
        <f>'CASH FLOW'!$N$2</f>
        <v>NOV</v>
      </c>
      <c r="O2" s="138" t="str">
        <f>'CASH FLOW'!$O$2</f>
        <v>DEC</v>
      </c>
      <c r="P2" s="432" t="s">
        <v>150</v>
      </c>
    </row>
    <row r="3" spans="1:23" ht="21" customHeight="1" thickBot="1">
      <c r="C3" s="183" t="s">
        <v>249</v>
      </c>
      <c r="D3" s="430">
        <f>D26+$B$29*D47</f>
        <v>43486.66</v>
      </c>
      <c r="E3" s="203">
        <f t="shared" ref="E3:O3" si="0">E26+$B$29*E47</f>
        <v>63486.66</v>
      </c>
      <c r="F3" s="204">
        <f t="shared" si="0"/>
        <v>43486.66</v>
      </c>
      <c r="G3" s="203">
        <f t="shared" si="0"/>
        <v>46686.66</v>
      </c>
      <c r="H3" s="203">
        <f t="shared" si="0"/>
        <v>41161.660000000003</v>
      </c>
      <c r="I3" s="204">
        <f t="shared" si="0"/>
        <v>49936.66</v>
      </c>
      <c r="J3" s="203">
        <f t="shared" si="0"/>
        <v>45736.66</v>
      </c>
      <c r="K3" s="203">
        <f t="shared" si="0"/>
        <v>41986.66</v>
      </c>
      <c r="L3" s="431">
        <f t="shared" si="0"/>
        <v>51986.66</v>
      </c>
      <c r="M3" s="203">
        <f t="shared" si="0"/>
        <v>71711.66</v>
      </c>
      <c r="N3" s="203">
        <f t="shared" si="0"/>
        <v>49936.66</v>
      </c>
      <c r="O3" s="431">
        <f t="shared" si="0"/>
        <v>37661.660000000003</v>
      </c>
      <c r="P3" s="203">
        <f>SUM(D3:O3)</f>
        <v>587264.92000000016</v>
      </c>
    </row>
    <row r="4" spans="1:23" ht="11.25" customHeight="1" thickTop="1">
      <c r="A4" s="83"/>
      <c r="C4" s="94"/>
      <c r="D4" s="181"/>
      <c r="E4" s="182"/>
      <c r="F4" s="182"/>
      <c r="G4" s="181"/>
      <c r="H4" s="181"/>
      <c r="I4" s="182"/>
      <c r="J4" s="181"/>
      <c r="K4" s="181"/>
      <c r="L4" s="182"/>
      <c r="M4" s="181"/>
      <c r="N4" s="181"/>
      <c r="O4" s="182"/>
      <c r="P4" s="181"/>
    </row>
    <row r="5" spans="1:23" ht="20.25">
      <c r="A5" s="83"/>
      <c r="C5" s="94"/>
      <c r="D5" s="660" t="s">
        <v>215</v>
      </c>
      <c r="E5" s="661"/>
      <c r="F5" s="661"/>
      <c r="G5" s="661"/>
      <c r="H5" s="661"/>
      <c r="I5" s="661"/>
      <c r="J5" s="661"/>
      <c r="K5" s="661"/>
      <c r="L5" s="661"/>
      <c r="M5" s="661"/>
      <c r="N5" s="661"/>
      <c r="O5" s="662"/>
      <c r="P5" s="177"/>
    </row>
    <row r="6" spans="1:23">
      <c r="C6" s="94"/>
      <c r="D6" s="136" t="str">
        <f>'CASH FLOW'!$D$2</f>
        <v>JAN</v>
      </c>
      <c r="E6" s="136" t="str">
        <f>'CASH FLOW'!$E$2</f>
        <v>FEB</v>
      </c>
      <c r="F6" s="137" t="str">
        <f>'CASH FLOW'!$F$2</f>
        <v>MAR</v>
      </c>
      <c r="G6" s="136" t="str">
        <f>'CASH FLOW'!$G$2</f>
        <v>APR</v>
      </c>
      <c r="H6" s="136" t="str">
        <f>'CASH FLOW'!$H$2</f>
        <v>MAY</v>
      </c>
      <c r="I6" s="137" t="str">
        <f>'CASH FLOW'!$I$2</f>
        <v>JUN</v>
      </c>
      <c r="J6" s="136" t="str">
        <f>'CASH FLOW'!$J$2</f>
        <v>JUL</v>
      </c>
      <c r="K6" s="136" t="str">
        <f>'CASH FLOW'!$K$2</f>
        <v>AUG</v>
      </c>
      <c r="L6" s="137" t="str">
        <f>'CASH FLOW'!$L$2</f>
        <v>SEP</v>
      </c>
      <c r="M6" s="136" t="str">
        <f>'CASH FLOW'!$M$2</f>
        <v>OCT</v>
      </c>
      <c r="N6" s="136" t="str">
        <f>'CASH FLOW'!$N$2</f>
        <v>NOV</v>
      </c>
      <c r="O6" s="138" t="str">
        <f>'CASH FLOW'!$O$2</f>
        <v>DEC</v>
      </c>
      <c r="P6" s="178" t="s">
        <v>126</v>
      </c>
      <c r="U6" s="5" t="s">
        <v>131</v>
      </c>
      <c r="V6" s="5" t="s">
        <v>129</v>
      </c>
      <c r="W6" s="5" t="s">
        <v>130</v>
      </c>
    </row>
    <row r="7" spans="1:23" ht="14.25">
      <c r="C7" s="124" t="s">
        <v>127</v>
      </c>
      <c r="D7" s="81">
        <v>5000</v>
      </c>
      <c r="E7" s="81">
        <v>5000</v>
      </c>
      <c r="F7" s="116">
        <v>5000</v>
      </c>
      <c r="G7" s="81">
        <v>5000</v>
      </c>
      <c r="H7" s="81">
        <v>4500</v>
      </c>
      <c r="I7" s="116">
        <v>4000</v>
      </c>
      <c r="J7" s="81">
        <v>2000</v>
      </c>
      <c r="K7" s="81">
        <v>2000</v>
      </c>
      <c r="L7" s="116">
        <v>5000</v>
      </c>
      <c r="M7" s="81">
        <v>5100</v>
      </c>
      <c r="N7" s="81">
        <v>5200</v>
      </c>
      <c r="O7" s="116">
        <v>5300</v>
      </c>
      <c r="P7" s="179">
        <f>SUM(D7:O7)</f>
        <v>53100</v>
      </c>
    </row>
    <row r="8" spans="1:23" ht="14.25">
      <c r="C8" s="124" t="s">
        <v>242</v>
      </c>
      <c r="D8" s="81"/>
      <c r="E8" s="81"/>
      <c r="F8" s="116"/>
      <c r="G8" s="81"/>
      <c r="H8" s="81"/>
      <c r="I8" s="116"/>
      <c r="J8" s="81"/>
      <c r="K8" s="81"/>
      <c r="L8" s="116"/>
      <c r="M8" s="81"/>
      <c r="N8" s="81"/>
      <c r="O8" s="116"/>
      <c r="P8" s="179">
        <f t="shared" ref="P8:P26" si="1">SUM(D8:O8)</f>
        <v>0</v>
      </c>
    </row>
    <row r="9" spans="1:23" ht="14.25">
      <c r="C9" s="124" t="s">
        <v>244</v>
      </c>
      <c r="D9" s="81"/>
      <c r="E9" s="81"/>
      <c r="F9" s="116"/>
      <c r="G9" s="81"/>
      <c r="H9" s="81"/>
      <c r="I9" s="116"/>
      <c r="J9" s="81"/>
      <c r="K9" s="81"/>
      <c r="L9" s="116"/>
      <c r="M9" s="81"/>
      <c r="N9" s="81"/>
      <c r="O9" s="116"/>
      <c r="P9" s="179">
        <f t="shared" si="1"/>
        <v>0</v>
      </c>
    </row>
    <row r="10" spans="1:23" ht="14.25">
      <c r="C10" s="124" t="s">
        <v>243</v>
      </c>
      <c r="D10" s="81">
        <v>5000</v>
      </c>
      <c r="E10" s="81"/>
      <c r="F10" s="116"/>
      <c r="G10" s="81"/>
      <c r="H10" s="81"/>
      <c r="I10" s="116"/>
      <c r="J10" s="81"/>
      <c r="K10" s="81"/>
      <c r="L10" s="116"/>
      <c r="M10" s="81">
        <v>5000</v>
      </c>
      <c r="N10" s="81"/>
      <c r="O10" s="116"/>
      <c r="P10" s="179">
        <f t="shared" si="1"/>
        <v>10000</v>
      </c>
    </row>
    <row r="11" spans="1:23" ht="14.25">
      <c r="C11" s="124" t="s">
        <v>332</v>
      </c>
      <c r="D11" s="81"/>
      <c r="E11" s="81"/>
      <c r="F11" s="116"/>
      <c r="G11" s="81"/>
      <c r="H11" s="81"/>
      <c r="I11" s="116"/>
      <c r="J11" s="81"/>
      <c r="K11" s="81"/>
      <c r="L11" s="116"/>
      <c r="M11" s="81"/>
      <c r="N11" s="81"/>
      <c r="O11" s="116"/>
      <c r="P11" s="179"/>
    </row>
    <row r="12" spans="1:23" ht="14.25">
      <c r="C12" s="124" t="s">
        <v>109</v>
      </c>
      <c r="D12" s="81"/>
      <c r="E12" s="81"/>
      <c r="F12" s="116"/>
      <c r="G12" s="81"/>
      <c r="H12" s="81">
        <v>1600</v>
      </c>
      <c r="I12" s="116"/>
      <c r="J12" s="81"/>
      <c r="K12" s="81"/>
      <c r="L12" s="116"/>
      <c r="M12" s="81"/>
      <c r="N12" s="81"/>
      <c r="O12" s="116"/>
      <c r="P12" s="179">
        <f t="shared" si="1"/>
        <v>1600</v>
      </c>
    </row>
    <row r="13" spans="1:23" ht="14.25">
      <c r="C13" s="124" t="s">
        <v>245</v>
      </c>
      <c r="D13" s="78">
        <v>6000</v>
      </c>
      <c r="E13" s="78">
        <v>6000</v>
      </c>
      <c r="F13" s="89">
        <v>6000</v>
      </c>
      <c r="G13" s="78">
        <v>6000</v>
      </c>
      <c r="H13" s="78">
        <v>6000</v>
      </c>
      <c r="I13" s="89">
        <v>6000</v>
      </c>
      <c r="J13" s="78">
        <v>6000</v>
      </c>
      <c r="K13" s="78">
        <v>6000</v>
      </c>
      <c r="L13" s="89">
        <v>6000</v>
      </c>
      <c r="M13" s="78">
        <v>6000</v>
      </c>
      <c r="N13" s="78">
        <v>6000</v>
      </c>
      <c r="O13" s="89">
        <v>6000</v>
      </c>
      <c r="P13" s="179">
        <f t="shared" si="1"/>
        <v>72000</v>
      </c>
    </row>
    <row r="14" spans="1:23" ht="14.25">
      <c r="C14" s="124" t="s">
        <v>252</v>
      </c>
      <c r="D14" s="78"/>
      <c r="E14" s="78"/>
      <c r="F14" s="89"/>
      <c r="G14" s="78"/>
      <c r="H14" s="78"/>
      <c r="I14" s="89"/>
      <c r="J14" s="78"/>
      <c r="K14" s="78"/>
      <c r="L14" s="89"/>
      <c r="M14" s="78"/>
      <c r="N14" s="78"/>
      <c r="O14" s="89"/>
      <c r="P14" s="179">
        <f t="shared" si="1"/>
        <v>0</v>
      </c>
    </row>
    <row r="15" spans="1:23" ht="14.25">
      <c r="C15" s="124" t="s">
        <v>246</v>
      </c>
      <c r="D15" s="78">
        <v>2000</v>
      </c>
      <c r="E15" s="78"/>
      <c r="F15" s="89"/>
      <c r="G15" s="78"/>
      <c r="H15" s="78"/>
      <c r="I15" s="89">
        <v>2000</v>
      </c>
      <c r="J15" s="78">
        <v>6000</v>
      </c>
      <c r="K15" s="78">
        <v>6000</v>
      </c>
      <c r="L15" s="89"/>
      <c r="M15" s="78"/>
      <c r="N15" s="78"/>
      <c r="O15" s="89"/>
      <c r="P15" s="179">
        <f t="shared" si="1"/>
        <v>16000</v>
      </c>
    </row>
    <row r="16" spans="1:23" ht="14.25">
      <c r="C16" s="124" t="s">
        <v>128</v>
      </c>
      <c r="D16" s="78"/>
      <c r="E16" s="78">
        <v>2000</v>
      </c>
      <c r="F16" s="89"/>
      <c r="G16" s="78"/>
      <c r="H16" s="78">
        <v>2000</v>
      </c>
      <c r="I16" s="89"/>
      <c r="J16" s="78"/>
      <c r="K16" s="78"/>
      <c r="L16" s="89"/>
      <c r="M16" s="78">
        <v>2000</v>
      </c>
      <c r="N16" s="78"/>
      <c r="O16" s="89"/>
      <c r="P16" s="179">
        <f t="shared" si="1"/>
        <v>6000</v>
      </c>
    </row>
    <row r="17" spans="1:22" ht="14.25">
      <c r="C17" s="124" t="s">
        <v>253</v>
      </c>
      <c r="D17" s="78">
        <v>0</v>
      </c>
      <c r="E17" s="78">
        <v>0</v>
      </c>
      <c r="F17" s="89">
        <v>0</v>
      </c>
      <c r="G17" s="78"/>
      <c r="H17" s="78">
        <v>0</v>
      </c>
      <c r="I17" s="89"/>
      <c r="J17" s="78">
        <v>0</v>
      </c>
      <c r="K17" s="78">
        <v>0</v>
      </c>
      <c r="L17" s="89">
        <v>0</v>
      </c>
      <c r="M17" s="78">
        <v>0</v>
      </c>
      <c r="N17" s="78">
        <v>0</v>
      </c>
      <c r="O17" s="89"/>
      <c r="P17" s="179"/>
    </row>
    <row r="18" spans="1:22" ht="14.25">
      <c r="C18" s="124" t="s">
        <v>254</v>
      </c>
      <c r="D18" s="368"/>
      <c r="E18" s="368">
        <v>10000</v>
      </c>
      <c r="F18" s="369"/>
      <c r="G18" s="368"/>
      <c r="H18" s="368"/>
      <c r="I18" s="369"/>
      <c r="J18" s="368"/>
      <c r="K18" s="368"/>
      <c r="L18" s="369"/>
      <c r="M18" s="368"/>
      <c r="N18" s="368"/>
      <c r="O18" s="369"/>
      <c r="P18" s="179">
        <f t="shared" si="1"/>
        <v>10000</v>
      </c>
    </row>
    <row r="19" spans="1:22" ht="13.5" customHeight="1">
      <c r="C19" s="124" t="s">
        <v>247</v>
      </c>
      <c r="D19" s="368"/>
      <c r="E19" s="368"/>
      <c r="F19" s="369"/>
      <c r="G19" s="368"/>
      <c r="H19" s="368"/>
      <c r="I19" s="369"/>
      <c r="J19" s="368"/>
      <c r="K19" s="368"/>
      <c r="L19" s="369"/>
      <c r="M19" s="368">
        <v>10000</v>
      </c>
      <c r="N19" s="368"/>
      <c r="O19" s="369"/>
      <c r="P19" s="179">
        <f t="shared" si="1"/>
        <v>10000</v>
      </c>
    </row>
    <row r="20" spans="1:22" ht="13.5" customHeight="1">
      <c r="C20" s="124"/>
      <c r="D20" s="368"/>
      <c r="E20" s="368"/>
      <c r="F20" s="369"/>
      <c r="G20" s="368"/>
      <c r="H20" s="368"/>
      <c r="I20" s="369"/>
      <c r="J20" s="368"/>
      <c r="K20" s="368"/>
      <c r="L20" s="369"/>
      <c r="M20" s="368"/>
      <c r="N20" s="368"/>
      <c r="O20" s="369"/>
      <c r="P20" s="179"/>
    </row>
    <row r="21" spans="1:22" ht="13.5" customHeight="1">
      <c r="A21" s="577"/>
      <c r="B21" s="577"/>
      <c r="C21" s="578" t="s">
        <v>518</v>
      </c>
      <c r="D21" s="368">
        <f>'Actify Budget'!E39</f>
        <v>13736.66</v>
      </c>
      <c r="E21" s="368">
        <f>'Actify Budget'!F39</f>
        <v>13736.66</v>
      </c>
      <c r="F21" s="368">
        <f>'Actify Budget'!G39</f>
        <v>14486.66</v>
      </c>
      <c r="G21" s="368">
        <f>'Actify Budget'!H39</f>
        <v>13686.66</v>
      </c>
      <c r="H21" s="368">
        <f>'Actify Budget'!I39</f>
        <v>13686.66</v>
      </c>
      <c r="I21" s="368">
        <f>'Actify Budget'!J39</f>
        <v>23686.66</v>
      </c>
      <c r="J21" s="368">
        <f>'Actify Budget'!K39</f>
        <v>18736.66</v>
      </c>
      <c r="K21" s="368">
        <f>'Actify Budget'!L39</f>
        <v>13736.66</v>
      </c>
      <c r="L21" s="368">
        <f>'Actify Budget'!M39</f>
        <v>28736.66</v>
      </c>
      <c r="M21" s="368">
        <f>'Actify Budget'!N39</f>
        <v>18736.66</v>
      </c>
      <c r="N21" s="368">
        <f>'Actify Budget'!O39</f>
        <v>13736.66</v>
      </c>
      <c r="O21" s="368">
        <f>'Actify Budget'!P39</f>
        <v>13736.66</v>
      </c>
      <c r="P21" s="179"/>
    </row>
    <row r="22" spans="1:22" ht="13.5" customHeight="1">
      <c r="A22" s="579" t="s">
        <v>519</v>
      </c>
      <c r="B22" s="577"/>
      <c r="C22" s="580"/>
      <c r="D22" s="368"/>
      <c r="E22" s="368"/>
      <c r="F22" s="369"/>
      <c r="G22" s="368"/>
      <c r="H22" s="368"/>
      <c r="I22" s="369"/>
      <c r="J22" s="368"/>
      <c r="K22" s="368"/>
      <c r="L22" s="369"/>
      <c r="M22" s="368"/>
      <c r="N22" s="368"/>
      <c r="O22" s="369"/>
      <c r="P22" s="179"/>
    </row>
    <row r="23" spans="1:22" ht="14.25">
      <c r="C23" s="124"/>
      <c r="D23" s="368"/>
      <c r="E23" s="368"/>
      <c r="F23" s="369"/>
      <c r="G23" s="368"/>
      <c r="H23" s="368"/>
      <c r="I23" s="369"/>
      <c r="J23" s="368"/>
      <c r="K23" s="368"/>
      <c r="L23" s="369"/>
      <c r="M23" s="368"/>
      <c r="N23" s="368"/>
      <c r="O23" s="369"/>
      <c r="P23" s="179">
        <f t="shared" si="1"/>
        <v>0</v>
      </c>
      <c r="R23" s="35"/>
      <c r="S23" s="35"/>
      <c r="T23" s="35"/>
      <c r="U23" s="35"/>
      <c r="V23" s="35"/>
    </row>
    <row r="24" spans="1:22" ht="14.25">
      <c r="C24" s="124" t="s">
        <v>248</v>
      </c>
      <c r="D24" s="368"/>
      <c r="E24" s="368"/>
      <c r="F24" s="369"/>
      <c r="G24" s="368">
        <v>10000</v>
      </c>
      <c r="H24" s="368"/>
      <c r="I24" s="369"/>
      <c r="J24" s="368"/>
      <c r="K24" s="368"/>
      <c r="L24" s="369"/>
      <c r="M24" s="368"/>
      <c r="N24" s="368">
        <v>10000</v>
      </c>
      <c r="O24" s="369"/>
      <c r="P24" s="179">
        <f t="shared" si="1"/>
        <v>20000</v>
      </c>
    </row>
    <row r="25" spans="1:22" ht="15" thickBot="1">
      <c r="A25" s="58"/>
      <c r="B25" s="58"/>
      <c r="C25" s="370" t="s">
        <v>82</v>
      </c>
      <c r="D25" s="62">
        <v>1500</v>
      </c>
      <c r="E25" s="62">
        <v>1500</v>
      </c>
      <c r="F25" s="117">
        <v>1500</v>
      </c>
      <c r="G25" s="62">
        <v>1500</v>
      </c>
      <c r="H25" s="62">
        <v>1500</v>
      </c>
      <c r="I25" s="117">
        <v>1500</v>
      </c>
      <c r="J25" s="62">
        <v>1500</v>
      </c>
      <c r="K25" s="62">
        <v>1500</v>
      </c>
      <c r="L25" s="117">
        <v>1500</v>
      </c>
      <c r="M25" s="62">
        <v>1500</v>
      </c>
      <c r="N25" s="62">
        <v>1500</v>
      </c>
      <c r="O25" s="117">
        <v>1500</v>
      </c>
      <c r="P25" s="179">
        <f t="shared" si="1"/>
        <v>18000</v>
      </c>
    </row>
    <row r="26" spans="1:22" ht="15.75" thickBot="1">
      <c r="A26" s="85"/>
      <c r="B26" s="85"/>
      <c r="C26" s="125" t="s">
        <v>250</v>
      </c>
      <c r="D26" s="63">
        <f t="shared" ref="D26:L26" si="2">SUM(D7:D25)</f>
        <v>33236.660000000003</v>
      </c>
      <c r="E26" s="63">
        <f t="shared" si="2"/>
        <v>38236.660000000003</v>
      </c>
      <c r="F26" s="118">
        <f t="shared" si="2"/>
        <v>26986.66</v>
      </c>
      <c r="G26" s="63">
        <f t="shared" si="2"/>
        <v>36186.660000000003</v>
      </c>
      <c r="H26" s="63">
        <f t="shared" si="2"/>
        <v>29286.66</v>
      </c>
      <c r="I26" s="118">
        <f t="shared" si="2"/>
        <v>37186.660000000003</v>
      </c>
      <c r="J26" s="63">
        <f t="shared" si="2"/>
        <v>34236.660000000003</v>
      </c>
      <c r="K26" s="63">
        <f t="shared" si="2"/>
        <v>29236.66</v>
      </c>
      <c r="L26" s="118">
        <f t="shared" si="2"/>
        <v>41236.660000000003</v>
      </c>
      <c r="M26" s="63">
        <f>SUM(M7:M25)</f>
        <v>48336.66</v>
      </c>
      <c r="N26" s="63">
        <f>SUM(N7:N25)</f>
        <v>36436.660000000003</v>
      </c>
      <c r="O26" s="118">
        <f>SUM(O7:O25)</f>
        <v>26536.66</v>
      </c>
      <c r="P26" s="180">
        <f t="shared" si="1"/>
        <v>417139.9200000001</v>
      </c>
    </row>
    <row r="27" spans="1:22" ht="13.5" thickTop="1">
      <c r="D27" s="35"/>
      <c r="E27" s="35"/>
      <c r="F27" s="35"/>
      <c r="G27" s="35"/>
      <c r="H27" s="35"/>
      <c r="I27" s="35"/>
      <c r="J27" s="35"/>
      <c r="K27" s="35"/>
      <c r="L27" s="166"/>
      <c r="M27" s="166"/>
      <c r="N27" s="166"/>
      <c r="O27" s="166"/>
      <c r="P27" s="166"/>
    </row>
    <row r="28" spans="1:22" ht="13.5" thickBot="1"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2" ht="21" thickBot="1">
      <c r="A29" s="83"/>
      <c r="B29" s="445">
        <v>1.25</v>
      </c>
      <c r="C29" s="433" t="s">
        <v>240</v>
      </c>
      <c r="D29" s="661" t="s">
        <v>214</v>
      </c>
      <c r="E29" s="661"/>
      <c r="F29" s="661"/>
      <c r="G29" s="661"/>
      <c r="H29" s="661"/>
      <c r="I29" s="661"/>
      <c r="J29" s="661"/>
      <c r="K29" s="661"/>
      <c r="L29" s="661"/>
      <c r="M29" s="661"/>
      <c r="N29" s="661"/>
      <c r="O29" s="662"/>
      <c r="P29" s="177"/>
    </row>
    <row r="30" spans="1:22">
      <c r="C30" s="94"/>
      <c r="D30" s="136" t="str">
        <f>'CASH FLOW'!$D$2</f>
        <v>JAN</v>
      </c>
      <c r="E30" s="136" t="str">
        <f>'CASH FLOW'!$E$2</f>
        <v>FEB</v>
      </c>
      <c r="F30" s="137" t="str">
        <f>'CASH FLOW'!$F$2</f>
        <v>MAR</v>
      </c>
      <c r="G30" s="136" t="str">
        <f>'CASH FLOW'!$G$2</f>
        <v>APR</v>
      </c>
      <c r="H30" s="136" t="str">
        <f>'CASH FLOW'!$H$2</f>
        <v>MAY</v>
      </c>
      <c r="I30" s="137" t="str">
        <f>'CASH FLOW'!$I$2</f>
        <v>JUN</v>
      </c>
      <c r="J30" s="136" t="str">
        <f>'CASH FLOW'!$J$2</f>
        <v>JUL</v>
      </c>
      <c r="K30" s="136" t="str">
        <f>'CASH FLOW'!$K$2</f>
        <v>AUG</v>
      </c>
      <c r="L30" s="137" t="str">
        <f>'CASH FLOW'!$L$2</f>
        <v>SEP</v>
      </c>
      <c r="M30" s="136" t="str">
        <f>'CASH FLOW'!$M$2</f>
        <v>OCT</v>
      </c>
      <c r="N30" s="136" t="str">
        <f>'CASH FLOW'!$N$2</f>
        <v>NOV</v>
      </c>
      <c r="O30" s="138" t="str">
        <f>'CASH FLOW'!$O$2</f>
        <v>DEC</v>
      </c>
      <c r="P30" s="178" t="s">
        <v>126</v>
      </c>
    </row>
    <row r="31" spans="1:22" ht="14.25">
      <c r="C31" s="124" t="str">
        <f>C7</f>
        <v>Search Marketing (Google / MSN)</v>
      </c>
      <c r="D31" s="81">
        <v>3000</v>
      </c>
      <c r="E31" s="81">
        <v>3000</v>
      </c>
      <c r="F31" s="116">
        <v>3000</v>
      </c>
      <c r="G31" s="81">
        <v>3200</v>
      </c>
      <c r="H31" s="81">
        <v>3300</v>
      </c>
      <c r="I31" s="116">
        <v>3000</v>
      </c>
      <c r="J31" s="81">
        <v>2000</v>
      </c>
      <c r="K31" s="81">
        <v>2000</v>
      </c>
      <c r="L31" s="116">
        <v>3400</v>
      </c>
      <c r="M31" s="81">
        <v>3500</v>
      </c>
      <c r="N31" s="81">
        <v>3600</v>
      </c>
      <c r="O31" s="116">
        <v>3700</v>
      </c>
      <c r="P31" s="179">
        <f>SUM(D31:O31)</f>
        <v>36700</v>
      </c>
    </row>
    <row r="32" spans="1:22" ht="14.25">
      <c r="C32" s="124" t="str">
        <f>C8</f>
        <v>External Telemarketing</v>
      </c>
      <c r="D32" s="81"/>
      <c r="E32" s="81"/>
      <c r="F32" s="116"/>
      <c r="G32" s="81"/>
      <c r="H32" s="81"/>
      <c r="I32" s="116"/>
      <c r="J32" s="81"/>
      <c r="K32" s="81"/>
      <c r="L32" s="116"/>
      <c r="M32" s="81"/>
      <c r="N32" s="81"/>
      <c r="O32" s="116"/>
      <c r="P32" s="179">
        <f t="shared" ref="P32:P40" si="3">SUM(D32:O32)</f>
        <v>0</v>
      </c>
    </row>
    <row r="33" spans="1:16" ht="14.25">
      <c r="C33" s="124" t="str">
        <f>C9</f>
        <v>External Writing</v>
      </c>
      <c r="D33" s="81"/>
      <c r="E33" s="81"/>
      <c r="F33" s="116"/>
      <c r="G33" s="81"/>
      <c r="H33" s="81"/>
      <c r="I33" s="116"/>
      <c r="J33" s="81"/>
      <c r="K33" s="81"/>
      <c r="L33" s="116"/>
      <c r="M33" s="81"/>
      <c r="N33" s="81"/>
      <c r="O33" s="116"/>
      <c r="P33" s="179">
        <f t="shared" si="3"/>
        <v>0</v>
      </c>
    </row>
    <row r="34" spans="1:16" ht="14.25">
      <c r="C34" s="124" t="str">
        <f>C10</f>
        <v>SEO / Web Site Consulting</v>
      </c>
      <c r="D34" s="81"/>
      <c r="E34" s="81"/>
      <c r="F34" s="116"/>
      <c r="G34" s="81"/>
      <c r="H34" s="81"/>
      <c r="I34" s="116"/>
      <c r="J34" s="81"/>
      <c r="K34" s="81"/>
      <c r="L34" s="116"/>
      <c r="M34" s="81"/>
      <c r="N34" s="81"/>
      <c r="O34" s="116"/>
      <c r="P34" s="179">
        <f t="shared" si="3"/>
        <v>0</v>
      </c>
    </row>
    <row r="35" spans="1:16" ht="14.25">
      <c r="C35" s="124" t="s">
        <v>332</v>
      </c>
      <c r="D35" s="81"/>
      <c r="E35" s="81"/>
      <c r="F35" s="116"/>
      <c r="G35" s="81"/>
      <c r="H35" s="81"/>
      <c r="I35" s="116"/>
      <c r="J35" s="81"/>
      <c r="K35" s="81"/>
      <c r="L35" s="116"/>
      <c r="M35" s="81"/>
      <c r="N35" s="81"/>
      <c r="O35" s="116"/>
      <c r="P35" s="179"/>
    </row>
    <row r="36" spans="1:16" ht="14.25">
      <c r="C36" s="124" t="str">
        <f t="shared" ref="C36:C42" si="4">C12</f>
        <v>Certifications, Memberships</v>
      </c>
      <c r="D36" s="81"/>
      <c r="E36" s="81"/>
      <c r="F36" s="116">
        <v>1000</v>
      </c>
      <c r="G36" s="81"/>
      <c r="H36" s="81">
        <v>1000</v>
      </c>
      <c r="I36" s="116"/>
      <c r="J36" s="81"/>
      <c r="K36" s="81">
        <v>1000</v>
      </c>
      <c r="L36" s="116"/>
      <c r="M36" s="81" t="s">
        <v>117</v>
      </c>
      <c r="N36" s="81">
        <v>2000</v>
      </c>
      <c r="O36" s="116"/>
      <c r="P36" s="179">
        <f t="shared" si="3"/>
        <v>5000</v>
      </c>
    </row>
    <row r="37" spans="1:16" ht="14.25">
      <c r="C37" s="124" t="str">
        <f t="shared" si="4"/>
        <v>PR Retainer</v>
      </c>
      <c r="D37" s="78">
        <v>4000</v>
      </c>
      <c r="E37" s="78">
        <v>4000</v>
      </c>
      <c r="F37" s="89">
        <v>4000</v>
      </c>
      <c r="G37" s="78">
        <v>4000</v>
      </c>
      <c r="H37" s="78">
        <v>4000</v>
      </c>
      <c r="I37" s="89">
        <v>4000</v>
      </c>
      <c r="J37" s="78">
        <v>4000</v>
      </c>
      <c r="K37" s="78">
        <v>4000</v>
      </c>
      <c r="L37" s="89">
        <v>4000</v>
      </c>
      <c r="M37" s="78">
        <v>4000</v>
      </c>
      <c r="N37" s="78">
        <v>4000</v>
      </c>
      <c r="O37" s="89">
        <v>4000</v>
      </c>
      <c r="P37" s="179">
        <f t="shared" si="3"/>
        <v>48000</v>
      </c>
    </row>
    <row r="38" spans="1:16" ht="14.25">
      <c r="C38" s="124" t="str">
        <f t="shared" si="4"/>
        <v>Referral Program / Promotions</v>
      </c>
      <c r="D38" s="78"/>
      <c r="E38" s="78"/>
      <c r="F38" s="89"/>
      <c r="G38" s="78"/>
      <c r="H38" s="78"/>
      <c r="I38" s="89"/>
      <c r="J38" s="78"/>
      <c r="K38" s="78"/>
      <c r="L38" s="89"/>
      <c r="M38" s="78"/>
      <c r="N38" s="78"/>
      <c r="O38" s="89"/>
      <c r="P38" s="179">
        <f t="shared" si="3"/>
        <v>0</v>
      </c>
    </row>
    <row r="39" spans="1:16" ht="14.25">
      <c r="C39" s="124" t="str">
        <f t="shared" si="4"/>
        <v>Interns</v>
      </c>
      <c r="D39" s="78"/>
      <c r="E39" s="78"/>
      <c r="F39" s="89"/>
      <c r="G39" s="78"/>
      <c r="H39" s="78"/>
      <c r="I39" s="89">
        <v>2000</v>
      </c>
      <c r="J39" s="78">
        <v>2000</v>
      </c>
      <c r="K39" s="78">
        <v>2000</v>
      </c>
      <c r="L39" s="89"/>
      <c r="M39" s="78"/>
      <c r="N39" s="78"/>
      <c r="O39" s="89"/>
      <c r="P39" s="179">
        <f t="shared" si="3"/>
        <v>6000</v>
      </c>
    </row>
    <row r="40" spans="1:16" ht="14.25">
      <c r="C40" s="124" t="str">
        <f t="shared" si="4"/>
        <v>Event Attendance</v>
      </c>
      <c r="D40" s="78"/>
      <c r="E40" s="78">
        <v>2000</v>
      </c>
      <c r="F40" s="89">
        <v>4000</v>
      </c>
      <c r="G40" s="78"/>
      <c r="H40" s="78"/>
      <c r="I40" s="89"/>
      <c r="J40" s="78"/>
      <c r="K40" s="78"/>
      <c r="L40" s="89"/>
      <c r="M40" s="78"/>
      <c r="N40" s="78"/>
      <c r="O40" s="89"/>
      <c r="P40" s="179">
        <f t="shared" si="3"/>
        <v>6000</v>
      </c>
    </row>
    <row r="41" spans="1:16" ht="14.25">
      <c r="C41" s="124" t="str">
        <f t="shared" si="4"/>
        <v>Advertising</v>
      </c>
      <c r="D41" s="78"/>
      <c r="E41" s="78"/>
      <c r="F41" s="89"/>
      <c r="G41" s="78">
        <v>0</v>
      </c>
      <c r="H41" s="78">
        <v>0</v>
      </c>
      <c r="I41" s="89">
        <v>0</v>
      </c>
      <c r="J41" s="78">
        <v>0</v>
      </c>
      <c r="K41" s="78">
        <v>0</v>
      </c>
      <c r="L41" s="89">
        <v>0</v>
      </c>
      <c r="M41" s="78">
        <v>0</v>
      </c>
      <c r="N41" s="78">
        <v>0</v>
      </c>
      <c r="O41" s="89">
        <v>0</v>
      </c>
      <c r="P41" s="179"/>
    </row>
    <row r="42" spans="1:16" ht="14.25">
      <c r="C42" s="124" t="str">
        <f t="shared" si="4"/>
        <v>Aras Community Events</v>
      </c>
      <c r="D42" s="368"/>
      <c r="E42" s="368"/>
      <c r="F42" s="369"/>
      <c r="G42" s="368"/>
      <c r="H42" s="368"/>
      <c r="I42" s="369"/>
      <c r="J42" s="368"/>
      <c r="K42" s="368"/>
      <c r="L42" s="369"/>
      <c r="M42" s="368">
        <v>10000</v>
      </c>
      <c r="N42" s="368"/>
      <c r="O42" s="369"/>
      <c r="P42" s="179">
        <f t="shared" ref="P42:P47" si="5">SUM(D42:O42)</f>
        <v>10000</v>
      </c>
    </row>
    <row r="43" spans="1:16" ht="14.25">
      <c r="C43" s="124"/>
      <c r="D43" s="368"/>
      <c r="E43" s="368"/>
      <c r="F43" s="369"/>
      <c r="G43" s="368"/>
      <c r="H43" s="368"/>
      <c r="I43" s="369"/>
      <c r="J43" s="368"/>
      <c r="K43" s="368"/>
      <c r="L43" s="369"/>
      <c r="M43" s="368"/>
      <c r="N43" s="368"/>
      <c r="O43" s="369"/>
      <c r="P43" s="179">
        <f t="shared" si="5"/>
        <v>0</v>
      </c>
    </row>
    <row r="44" spans="1:16" ht="14.25">
      <c r="C44" s="124"/>
      <c r="D44" s="368"/>
      <c r="E44" s="368"/>
      <c r="F44" s="369"/>
      <c r="G44" s="368"/>
      <c r="H44" s="368"/>
      <c r="I44" s="369"/>
      <c r="J44" s="368"/>
      <c r="K44" s="368"/>
      <c r="L44" s="369"/>
      <c r="M44" s="368"/>
      <c r="N44" s="368"/>
      <c r="O44" s="369"/>
      <c r="P44" s="179">
        <f t="shared" si="5"/>
        <v>0</v>
      </c>
    </row>
    <row r="45" spans="1:16" ht="14.25">
      <c r="C45" s="124" t="str">
        <f t="shared" ref="C45:C46" si="6">C24</f>
        <v>Other Conferences</v>
      </c>
      <c r="D45" s="368"/>
      <c r="E45" s="368">
        <v>10000</v>
      </c>
      <c r="F45" s="369"/>
      <c r="G45" s="368"/>
      <c r="H45" s="368"/>
      <c r="I45" s="369"/>
      <c r="J45" s="368"/>
      <c r="K45" s="368"/>
      <c r="L45" s="369"/>
      <c r="M45" s="368"/>
      <c r="N45" s="368"/>
      <c r="O45" s="369"/>
      <c r="P45" s="179">
        <f t="shared" si="5"/>
        <v>10000</v>
      </c>
    </row>
    <row r="46" spans="1:16" ht="15" thickBot="1">
      <c r="A46" s="58"/>
      <c r="B46" s="58"/>
      <c r="C46" s="370" t="str">
        <f t="shared" si="6"/>
        <v xml:space="preserve">Misc </v>
      </c>
      <c r="D46" s="62">
        <v>1200</v>
      </c>
      <c r="E46" s="62">
        <v>1200</v>
      </c>
      <c r="F46" s="117">
        <v>1200</v>
      </c>
      <c r="G46" s="62">
        <v>1200</v>
      </c>
      <c r="H46" s="62">
        <v>1200</v>
      </c>
      <c r="I46" s="117">
        <v>1200</v>
      </c>
      <c r="J46" s="62">
        <v>1200</v>
      </c>
      <c r="K46" s="62">
        <v>1200</v>
      </c>
      <c r="L46" s="117">
        <v>1200</v>
      </c>
      <c r="M46" s="62">
        <v>1200</v>
      </c>
      <c r="N46" s="62">
        <v>1200</v>
      </c>
      <c r="O46" s="117">
        <v>1200</v>
      </c>
      <c r="P46" s="179">
        <f t="shared" si="5"/>
        <v>14400</v>
      </c>
    </row>
    <row r="47" spans="1:16" ht="15.75" thickBot="1">
      <c r="A47" s="85"/>
      <c r="B47" s="85"/>
      <c r="C47" s="125" t="s">
        <v>251</v>
      </c>
      <c r="D47" s="63">
        <f t="shared" ref="D47:O47" si="7">SUM(D31:D46)</f>
        <v>8200</v>
      </c>
      <c r="E47" s="63">
        <f t="shared" si="7"/>
        <v>20200</v>
      </c>
      <c r="F47" s="118">
        <f t="shared" si="7"/>
        <v>13200</v>
      </c>
      <c r="G47" s="63">
        <f t="shared" si="7"/>
        <v>8400</v>
      </c>
      <c r="H47" s="63">
        <f t="shared" si="7"/>
        <v>9500</v>
      </c>
      <c r="I47" s="118">
        <f t="shared" si="7"/>
        <v>10200</v>
      </c>
      <c r="J47" s="63">
        <f t="shared" si="7"/>
        <v>9200</v>
      </c>
      <c r="K47" s="63">
        <f t="shared" si="7"/>
        <v>10200</v>
      </c>
      <c r="L47" s="118">
        <f t="shared" si="7"/>
        <v>8600</v>
      </c>
      <c r="M47" s="63">
        <f t="shared" si="7"/>
        <v>18700</v>
      </c>
      <c r="N47" s="63">
        <f t="shared" si="7"/>
        <v>10800</v>
      </c>
      <c r="O47" s="118">
        <f t="shared" si="7"/>
        <v>8900</v>
      </c>
      <c r="P47" s="180">
        <f t="shared" si="5"/>
        <v>136100</v>
      </c>
    </row>
    <row r="48" spans="1:16" ht="13.5" thickTop="1">
      <c r="F48"/>
      <c r="I48"/>
      <c r="L48"/>
      <c r="O48"/>
    </row>
    <row r="49" spans="6:15">
      <c r="F49"/>
      <c r="I49"/>
      <c r="L49"/>
      <c r="O49"/>
    </row>
    <row r="50" spans="6:15">
      <c r="F50"/>
      <c r="I50"/>
      <c r="L50"/>
      <c r="O50"/>
    </row>
    <row r="51" spans="6:15">
      <c r="F51"/>
      <c r="I51"/>
      <c r="L51"/>
      <c r="O51"/>
    </row>
    <row r="52" spans="6:15">
      <c r="F52"/>
      <c r="I52"/>
      <c r="L52"/>
      <c r="O52"/>
    </row>
    <row r="53" spans="6:15">
      <c r="F53"/>
      <c r="I53"/>
      <c r="L53"/>
      <c r="O53"/>
    </row>
    <row r="54" spans="6:15">
      <c r="F54"/>
      <c r="I54"/>
      <c r="L54"/>
      <c r="O54"/>
    </row>
    <row r="55" spans="6:15">
      <c r="F55"/>
      <c r="I55"/>
      <c r="L55"/>
      <c r="O55"/>
    </row>
    <row r="56" spans="6:15">
      <c r="F56"/>
      <c r="I56"/>
      <c r="L56"/>
      <c r="O56"/>
    </row>
    <row r="57" spans="6:15">
      <c r="F57"/>
      <c r="I57"/>
      <c r="L57"/>
      <c r="O57"/>
    </row>
    <row r="58" spans="6:15">
      <c r="F58"/>
      <c r="I58"/>
      <c r="L58"/>
      <c r="O58"/>
    </row>
    <row r="59" spans="6:15">
      <c r="F59"/>
      <c r="I59"/>
      <c r="L59"/>
      <c r="O59"/>
    </row>
    <row r="60" spans="6:15">
      <c r="F60"/>
      <c r="I60"/>
      <c r="L60"/>
      <c r="O60"/>
    </row>
    <row r="61" spans="6:15">
      <c r="F61"/>
      <c r="I61"/>
      <c r="L61"/>
      <c r="O61"/>
    </row>
    <row r="62" spans="6:15">
      <c r="F62"/>
      <c r="I62"/>
      <c r="L62"/>
      <c r="O62"/>
    </row>
    <row r="63" spans="6:15">
      <c r="F63"/>
      <c r="I63"/>
      <c r="L63"/>
      <c r="O63"/>
    </row>
    <row r="64" spans="6:15">
      <c r="F64"/>
      <c r="I64"/>
      <c r="L64"/>
      <c r="O64"/>
    </row>
    <row r="65" spans="6:15">
      <c r="F65"/>
      <c r="I65"/>
      <c r="L65"/>
      <c r="O65"/>
    </row>
    <row r="66" spans="6:15">
      <c r="F66"/>
      <c r="I66"/>
      <c r="L66"/>
      <c r="O66"/>
    </row>
    <row r="67" spans="6:15">
      <c r="F67"/>
      <c r="I67"/>
      <c r="L67"/>
      <c r="O67"/>
    </row>
    <row r="68" spans="6:15">
      <c r="F68"/>
      <c r="I68"/>
      <c r="L68"/>
      <c r="O68"/>
    </row>
    <row r="69" spans="6:15">
      <c r="F69"/>
      <c r="I69"/>
      <c r="L69"/>
      <c r="O69"/>
    </row>
    <row r="70" spans="6:15">
      <c r="F70"/>
      <c r="I70"/>
      <c r="L70"/>
      <c r="O70"/>
    </row>
    <row r="71" spans="6:15">
      <c r="F71"/>
      <c r="I71"/>
      <c r="L71"/>
      <c r="O71"/>
    </row>
    <row r="72" spans="6:15">
      <c r="F72"/>
      <c r="I72"/>
      <c r="L72"/>
      <c r="O72"/>
    </row>
    <row r="73" spans="6:15">
      <c r="F73"/>
      <c r="I73"/>
      <c r="L73"/>
      <c r="O73"/>
    </row>
    <row r="74" spans="6:15">
      <c r="F74"/>
      <c r="I74"/>
      <c r="L74"/>
      <c r="O74"/>
    </row>
    <row r="75" spans="6:15">
      <c r="F75"/>
      <c r="I75"/>
      <c r="L75"/>
      <c r="O75"/>
    </row>
    <row r="76" spans="6:15">
      <c r="F76"/>
      <c r="I76"/>
      <c r="L76"/>
      <c r="O76"/>
    </row>
    <row r="77" spans="6:15">
      <c r="F77"/>
      <c r="I77"/>
      <c r="L77"/>
      <c r="O77"/>
    </row>
    <row r="78" spans="6:15">
      <c r="F78"/>
      <c r="I78"/>
      <c r="L78"/>
      <c r="O78"/>
    </row>
    <row r="79" spans="6:15">
      <c r="F79"/>
      <c r="I79"/>
      <c r="L79"/>
      <c r="O79"/>
    </row>
    <row r="80" spans="6:15">
      <c r="F80"/>
      <c r="I80"/>
      <c r="L80"/>
      <c r="O80"/>
    </row>
    <row r="81" spans="6:15">
      <c r="F81"/>
      <c r="I81"/>
      <c r="L81"/>
      <c r="O81"/>
    </row>
    <row r="82" spans="6:15">
      <c r="F82"/>
      <c r="I82"/>
      <c r="L82"/>
      <c r="O82"/>
    </row>
    <row r="83" spans="6:15">
      <c r="F83"/>
      <c r="I83"/>
      <c r="L83"/>
      <c r="O83"/>
    </row>
    <row r="84" spans="6:15">
      <c r="F84"/>
      <c r="I84"/>
      <c r="L84"/>
      <c r="O84"/>
    </row>
    <row r="85" spans="6:15">
      <c r="F85"/>
      <c r="I85"/>
      <c r="L85"/>
      <c r="O85"/>
    </row>
    <row r="86" spans="6:15">
      <c r="F86"/>
      <c r="I86"/>
      <c r="L86"/>
      <c r="O86"/>
    </row>
    <row r="87" spans="6:15">
      <c r="F87"/>
      <c r="I87"/>
      <c r="L87"/>
      <c r="O87"/>
    </row>
    <row r="88" spans="6:15">
      <c r="F88"/>
      <c r="I88"/>
      <c r="L88"/>
      <c r="O88"/>
    </row>
    <row r="89" spans="6:15">
      <c r="F89"/>
      <c r="I89"/>
      <c r="L89"/>
      <c r="O89"/>
    </row>
    <row r="90" spans="6:15">
      <c r="F90"/>
      <c r="I90"/>
      <c r="L90"/>
      <c r="O90"/>
    </row>
    <row r="91" spans="6:15">
      <c r="F91"/>
      <c r="I91"/>
      <c r="L91"/>
      <c r="O91"/>
    </row>
    <row r="92" spans="6:15">
      <c r="F92"/>
      <c r="I92"/>
      <c r="L92"/>
      <c r="O92"/>
    </row>
    <row r="93" spans="6:15">
      <c r="F93"/>
      <c r="I93"/>
      <c r="L93"/>
      <c r="O93"/>
    </row>
    <row r="94" spans="6:15">
      <c r="F94"/>
      <c r="I94"/>
      <c r="L94"/>
      <c r="O94"/>
    </row>
    <row r="95" spans="6:15">
      <c r="F95"/>
      <c r="I95"/>
      <c r="L95"/>
      <c r="O95"/>
    </row>
    <row r="96" spans="6:15">
      <c r="F96"/>
      <c r="I96"/>
      <c r="L96"/>
      <c r="O96"/>
    </row>
    <row r="97" spans="6:15">
      <c r="F97"/>
      <c r="I97"/>
      <c r="L97"/>
      <c r="O97"/>
    </row>
    <row r="98" spans="6:15">
      <c r="F98"/>
      <c r="I98"/>
      <c r="L98"/>
      <c r="O98"/>
    </row>
    <row r="99" spans="6:15">
      <c r="F99"/>
      <c r="I99"/>
      <c r="L99"/>
      <c r="O99"/>
    </row>
    <row r="100" spans="6:15">
      <c r="F100"/>
      <c r="I100"/>
      <c r="L100"/>
      <c r="O100"/>
    </row>
    <row r="101" spans="6:15">
      <c r="F101"/>
      <c r="I101"/>
      <c r="L101"/>
      <c r="O101"/>
    </row>
    <row r="102" spans="6:15">
      <c r="F102"/>
      <c r="I102"/>
      <c r="L102"/>
      <c r="O102"/>
    </row>
    <row r="103" spans="6:15">
      <c r="F103"/>
      <c r="I103"/>
      <c r="L103"/>
      <c r="O103"/>
    </row>
    <row r="104" spans="6:15">
      <c r="F104"/>
      <c r="I104"/>
      <c r="L104"/>
      <c r="O104"/>
    </row>
    <row r="105" spans="6:15">
      <c r="F105"/>
      <c r="I105"/>
      <c r="L105"/>
      <c r="O105"/>
    </row>
    <row r="106" spans="6:15">
      <c r="F106"/>
      <c r="I106"/>
      <c r="L106"/>
      <c r="O106"/>
    </row>
    <row r="107" spans="6:15">
      <c r="F107"/>
      <c r="I107"/>
      <c r="L107"/>
      <c r="O107"/>
    </row>
    <row r="108" spans="6:15">
      <c r="F108"/>
      <c r="I108"/>
      <c r="L108"/>
      <c r="O108"/>
    </row>
    <row r="109" spans="6:15">
      <c r="F109"/>
      <c r="I109"/>
      <c r="L109"/>
      <c r="O109"/>
    </row>
    <row r="110" spans="6:15">
      <c r="F110"/>
      <c r="I110"/>
      <c r="L110"/>
      <c r="O110"/>
    </row>
    <row r="111" spans="6:15">
      <c r="F111"/>
      <c r="I111"/>
      <c r="L111"/>
      <c r="O111"/>
    </row>
    <row r="112" spans="6:15">
      <c r="F112"/>
      <c r="I112"/>
      <c r="L112"/>
      <c r="O112"/>
    </row>
    <row r="113" spans="6:15">
      <c r="F113"/>
      <c r="I113"/>
      <c r="L113"/>
      <c r="O113"/>
    </row>
    <row r="114" spans="6:15">
      <c r="F114"/>
      <c r="I114"/>
      <c r="L114"/>
      <c r="O114"/>
    </row>
    <row r="115" spans="6:15">
      <c r="F115"/>
      <c r="I115"/>
      <c r="L115"/>
      <c r="O115"/>
    </row>
    <row r="116" spans="6:15">
      <c r="F116"/>
      <c r="I116"/>
      <c r="L116"/>
      <c r="O116"/>
    </row>
    <row r="117" spans="6:15">
      <c r="F117"/>
      <c r="I117"/>
      <c r="L117"/>
      <c r="O117"/>
    </row>
    <row r="118" spans="6:15">
      <c r="F118"/>
      <c r="I118"/>
      <c r="L118"/>
      <c r="O118"/>
    </row>
    <row r="119" spans="6:15">
      <c r="F119"/>
      <c r="I119"/>
      <c r="L119"/>
      <c r="O119"/>
    </row>
    <row r="120" spans="6:15">
      <c r="F120"/>
      <c r="I120"/>
      <c r="L120"/>
      <c r="O120"/>
    </row>
    <row r="121" spans="6:15">
      <c r="F121"/>
      <c r="I121"/>
      <c r="L121"/>
      <c r="O121"/>
    </row>
    <row r="122" spans="6:15">
      <c r="F122"/>
      <c r="I122"/>
      <c r="L122"/>
      <c r="O122"/>
    </row>
    <row r="123" spans="6:15">
      <c r="F123"/>
      <c r="I123"/>
      <c r="L123"/>
      <c r="O123"/>
    </row>
    <row r="124" spans="6:15">
      <c r="F124"/>
      <c r="I124"/>
      <c r="L124"/>
      <c r="O124"/>
    </row>
    <row r="125" spans="6:15">
      <c r="F125"/>
      <c r="I125"/>
      <c r="L125"/>
      <c r="O125"/>
    </row>
    <row r="126" spans="6:15">
      <c r="F126"/>
      <c r="I126"/>
      <c r="L126"/>
      <c r="O126"/>
    </row>
    <row r="127" spans="6:15">
      <c r="F127"/>
      <c r="I127"/>
      <c r="L127"/>
      <c r="O127"/>
    </row>
    <row r="128" spans="6:15">
      <c r="F128"/>
      <c r="I128"/>
      <c r="L128"/>
      <c r="O128"/>
    </row>
    <row r="129" spans="6:15">
      <c r="F129"/>
      <c r="I129"/>
      <c r="L129"/>
      <c r="O129"/>
    </row>
    <row r="130" spans="6:15">
      <c r="F130"/>
      <c r="I130"/>
      <c r="L130"/>
      <c r="O130"/>
    </row>
    <row r="131" spans="6:15">
      <c r="F131"/>
      <c r="I131"/>
      <c r="L131"/>
      <c r="O131"/>
    </row>
    <row r="132" spans="6:15">
      <c r="F132"/>
      <c r="I132"/>
      <c r="L132"/>
      <c r="O132"/>
    </row>
    <row r="133" spans="6:15">
      <c r="F133"/>
      <c r="I133"/>
      <c r="L133"/>
      <c r="O133"/>
    </row>
    <row r="134" spans="6:15">
      <c r="F134"/>
      <c r="I134"/>
      <c r="L134"/>
      <c r="O134"/>
    </row>
    <row r="135" spans="6:15">
      <c r="F135"/>
      <c r="I135"/>
      <c r="L135"/>
      <c r="O135"/>
    </row>
    <row r="136" spans="6:15">
      <c r="F136"/>
      <c r="I136"/>
      <c r="L136"/>
      <c r="O136"/>
    </row>
    <row r="137" spans="6:15">
      <c r="F137"/>
      <c r="I137"/>
      <c r="L137"/>
      <c r="O137"/>
    </row>
    <row r="138" spans="6:15">
      <c r="F138"/>
      <c r="I138"/>
      <c r="L138"/>
      <c r="O138"/>
    </row>
    <row r="139" spans="6:15">
      <c r="F139"/>
      <c r="I139"/>
      <c r="L139"/>
      <c r="O139"/>
    </row>
    <row r="140" spans="6:15">
      <c r="F140"/>
      <c r="I140"/>
      <c r="L140"/>
      <c r="O140"/>
    </row>
    <row r="141" spans="6:15">
      <c r="F141"/>
      <c r="I141"/>
      <c r="L141"/>
      <c r="O141"/>
    </row>
    <row r="142" spans="6:15">
      <c r="F142"/>
      <c r="I142"/>
      <c r="L142"/>
      <c r="O142"/>
    </row>
    <row r="143" spans="6:15">
      <c r="F143"/>
      <c r="I143"/>
      <c r="L143"/>
      <c r="O143"/>
    </row>
    <row r="144" spans="6:15">
      <c r="F144"/>
      <c r="I144"/>
      <c r="L144"/>
      <c r="O144"/>
    </row>
    <row r="145" spans="6:15">
      <c r="F145"/>
      <c r="I145"/>
      <c r="L145"/>
      <c r="O145"/>
    </row>
    <row r="146" spans="6:15">
      <c r="F146"/>
      <c r="I146"/>
      <c r="L146"/>
      <c r="O146"/>
    </row>
    <row r="147" spans="6:15">
      <c r="F147"/>
      <c r="I147"/>
      <c r="L147"/>
      <c r="O147"/>
    </row>
    <row r="148" spans="6:15">
      <c r="F148"/>
      <c r="I148"/>
      <c r="L148"/>
      <c r="O148"/>
    </row>
    <row r="149" spans="6:15">
      <c r="F149"/>
      <c r="I149"/>
      <c r="L149"/>
      <c r="O149"/>
    </row>
    <row r="150" spans="6:15">
      <c r="F150"/>
      <c r="I150"/>
      <c r="L150"/>
      <c r="O150"/>
    </row>
    <row r="151" spans="6:15">
      <c r="F151"/>
      <c r="I151"/>
      <c r="L151"/>
      <c r="O151"/>
    </row>
    <row r="152" spans="6:15">
      <c r="F152"/>
      <c r="I152"/>
      <c r="L152"/>
      <c r="O152"/>
    </row>
    <row r="153" spans="6:15">
      <c r="F153"/>
      <c r="I153"/>
      <c r="L153"/>
      <c r="O153"/>
    </row>
    <row r="154" spans="6:15">
      <c r="F154"/>
      <c r="I154"/>
      <c r="L154"/>
      <c r="O154"/>
    </row>
    <row r="155" spans="6:15">
      <c r="F155"/>
      <c r="I155"/>
      <c r="L155"/>
      <c r="O155"/>
    </row>
    <row r="156" spans="6:15">
      <c r="F156"/>
      <c r="I156"/>
      <c r="L156"/>
      <c r="O156"/>
    </row>
    <row r="157" spans="6:15">
      <c r="F157"/>
      <c r="I157"/>
      <c r="L157"/>
      <c r="O157"/>
    </row>
    <row r="158" spans="6:15">
      <c r="F158"/>
      <c r="I158"/>
      <c r="L158"/>
      <c r="O158"/>
    </row>
    <row r="159" spans="6:15">
      <c r="F159"/>
      <c r="I159"/>
      <c r="L159"/>
      <c r="O159"/>
    </row>
    <row r="160" spans="6:15">
      <c r="F160"/>
      <c r="I160"/>
      <c r="L160"/>
      <c r="O160"/>
    </row>
    <row r="161" spans="6:15">
      <c r="F161"/>
      <c r="I161"/>
      <c r="L161"/>
      <c r="O161"/>
    </row>
    <row r="162" spans="6:15">
      <c r="F162"/>
      <c r="I162"/>
      <c r="L162"/>
      <c r="O162"/>
    </row>
    <row r="163" spans="6:15">
      <c r="F163"/>
      <c r="I163"/>
      <c r="L163"/>
      <c r="O163"/>
    </row>
    <row r="164" spans="6:15">
      <c r="F164"/>
      <c r="I164"/>
      <c r="L164"/>
      <c r="O164"/>
    </row>
    <row r="165" spans="6:15">
      <c r="F165"/>
      <c r="I165"/>
      <c r="L165"/>
      <c r="O165"/>
    </row>
    <row r="166" spans="6:15">
      <c r="F166"/>
      <c r="I166"/>
      <c r="L166"/>
      <c r="O166"/>
    </row>
    <row r="167" spans="6:15">
      <c r="F167"/>
      <c r="I167"/>
      <c r="L167"/>
      <c r="O167"/>
    </row>
    <row r="168" spans="6:15">
      <c r="F168"/>
      <c r="I168"/>
      <c r="L168"/>
      <c r="O168"/>
    </row>
    <row r="169" spans="6:15">
      <c r="F169"/>
      <c r="I169"/>
      <c r="L169"/>
      <c r="O169"/>
    </row>
    <row r="170" spans="6:15">
      <c r="F170"/>
      <c r="I170"/>
      <c r="L170"/>
      <c r="O170"/>
    </row>
    <row r="171" spans="6:15">
      <c r="F171"/>
      <c r="I171"/>
      <c r="L171"/>
      <c r="O171"/>
    </row>
    <row r="172" spans="6:15">
      <c r="F172"/>
      <c r="I172"/>
      <c r="L172"/>
      <c r="O172"/>
    </row>
    <row r="173" spans="6:15">
      <c r="F173"/>
      <c r="I173"/>
      <c r="L173"/>
      <c r="O173"/>
    </row>
    <row r="174" spans="6:15">
      <c r="F174"/>
      <c r="I174"/>
      <c r="L174"/>
      <c r="O174"/>
    </row>
    <row r="175" spans="6:15">
      <c r="F175"/>
      <c r="I175"/>
      <c r="L175"/>
      <c r="O175"/>
    </row>
    <row r="176" spans="6:15">
      <c r="F176"/>
      <c r="I176"/>
      <c r="L176"/>
      <c r="O176"/>
    </row>
    <row r="177" spans="6:15">
      <c r="F177"/>
      <c r="I177"/>
      <c r="L177"/>
      <c r="O177"/>
    </row>
    <row r="178" spans="6:15">
      <c r="F178"/>
      <c r="I178"/>
      <c r="L178"/>
      <c r="O178"/>
    </row>
    <row r="179" spans="6:15">
      <c r="F179"/>
      <c r="I179"/>
      <c r="L179"/>
      <c r="O179"/>
    </row>
    <row r="180" spans="6:15">
      <c r="F180"/>
      <c r="I180"/>
      <c r="L180"/>
      <c r="O180"/>
    </row>
    <row r="181" spans="6:15">
      <c r="F181"/>
      <c r="I181"/>
      <c r="L181"/>
      <c r="O181"/>
    </row>
    <row r="182" spans="6:15">
      <c r="F182"/>
      <c r="I182"/>
      <c r="L182"/>
      <c r="O182"/>
    </row>
    <row r="183" spans="6:15">
      <c r="F183"/>
      <c r="I183"/>
      <c r="L183"/>
      <c r="O183"/>
    </row>
    <row r="184" spans="6:15">
      <c r="F184"/>
      <c r="I184"/>
      <c r="L184"/>
      <c r="O184"/>
    </row>
    <row r="185" spans="6:15">
      <c r="F185"/>
      <c r="I185"/>
      <c r="L185"/>
      <c r="O185"/>
    </row>
    <row r="186" spans="6:15">
      <c r="F186"/>
      <c r="I186"/>
      <c r="L186"/>
      <c r="O186"/>
    </row>
    <row r="187" spans="6:15">
      <c r="F187"/>
      <c r="I187"/>
      <c r="L187"/>
      <c r="O187"/>
    </row>
    <row r="188" spans="6:15">
      <c r="F188"/>
      <c r="I188"/>
      <c r="L188"/>
      <c r="O188"/>
    </row>
    <row r="189" spans="6:15">
      <c r="F189"/>
      <c r="I189"/>
      <c r="L189"/>
      <c r="O189"/>
    </row>
    <row r="190" spans="6:15">
      <c r="F190"/>
      <c r="I190"/>
      <c r="L190"/>
      <c r="O190"/>
    </row>
    <row r="191" spans="6:15">
      <c r="F191"/>
      <c r="I191"/>
      <c r="L191"/>
      <c r="O191"/>
    </row>
    <row r="192" spans="6:15">
      <c r="F192"/>
      <c r="I192"/>
      <c r="L192"/>
      <c r="O192"/>
    </row>
    <row r="193" spans="6:15">
      <c r="F193"/>
      <c r="I193"/>
      <c r="L193"/>
      <c r="O193"/>
    </row>
    <row r="194" spans="6:15">
      <c r="F194"/>
      <c r="I194"/>
      <c r="L194"/>
      <c r="O194"/>
    </row>
    <row r="195" spans="6:15">
      <c r="F195"/>
      <c r="I195"/>
      <c r="L195"/>
      <c r="O195"/>
    </row>
    <row r="196" spans="6:15">
      <c r="F196"/>
      <c r="I196"/>
      <c r="L196"/>
      <c r="O196"/>
    </row>
    <row r="197" spans="6:15">
      <c r="F197"/>
      <c r="I197"/>
      <c r="L197"/>
      <c r="O197"/>
    </row>
    <row r="198" spans="6:15">
      <c r="F198"/>
      <c r="I198"/>
      <c r="L198"/>
      <c r="O198"/>
    </row>
    <row r="199" spans="6:15">
      <c r="F199"/>
      <c r="I199"/>
      <c r="L199"/>
      <c r="O199"/>
    </row>
    <row r="200" spans="6:15">
      <c r="F200"/>
      <c r="I200"/>
      <c r="L200"/>
      <c r="O200"/>
    </row>
    <row r="201" spans="6:15">
      <c r="F201"/>
      <c r="I201"/>
      <c r="L201"/>
      <c r="O201"/>
    </row>
    <row r="202" spans="6:15">
      <c r="F202"/>
      <c r="I202"/>
      <c r="L202"/>
      <c r="O202"/>
    </row>
    <row r="203" spans="6:15">
      <c r="F203"/>
      <c r="I203"/>
      <c r="L203"/>
      <c r="O203"/>
    </row>
    <row r="204" spans="6:15">
      <c r="F204"/>
      <c r="I204"/>
      <c r="L204"/>
      <c r="O204"/>
    </row>
    <row r="205" spans="6:15">
      <c r="F205"/>
      <c r="I205"/>
      <c r="L205"/>
      <c r="O205"/>
    </row>
    <row r="206" spans="6:15">
      <c r="F206"/>
      <c r="I206"/>
      <c r="L206"/>
      <c r="O206"/>
    </row>
    <row r="207" spans="6:15">
      <c r="F207"/>
      <c r="I207"/>
      <c r="L207"/>
      <c r="O207"/>
    </row>
    <row r="208" spans="6:15">
      <c r="F208"/>
      <c r="I208"/>
      <c r="L208"/>
      <c r="O208"/>
    </row>
    <row r="209" spans="6:15">
      <c r="F209"/>
      <c r="I209"/>
      <c r="L209"/>
      <c r="O209"/>
    </row>
    <row r="210" spans="6:15">
      <c r="F210"/>
      <c r="I210"/>
      <c r="L210"/>
      <c r="O210"/>
    </row>
    <row r="211" spans="6:15">
      <c r="F211"/>
      <c r="I211"/>
      <c r="L211"/>
      <c r="O211"/>
    </row>
    <row r="212" spans="6:15">
      <c r="F212"/>
      <c r="I212"/>
      <c r="L212"/>
      <c r="O212"/>
    </row>
    <row r="213" spans="6:15">
      <c r="F213"/>
      <c r="I213"/>
      <c r="L213"/>
      <c r="O213"/>
    </row>
    <row r="214" spans="6:15">
      <c r="F214"/>
      <c r="I214"/>
      <c r="L214"/>
      <c r="O214"/>
    </row>
    <row r="215" spans="6:15">
      <c r="F215"/>
      <c r="I215"/>
      <c r="L215"/>
      <c r="O215"/>
    </row>
    <row r="216" spans="6:15">
      <c r="F216"/>
      <c r="I216"/>
      <c r="L216"/>
      <c r="O216"/>
    </row>
    <row r="217" spans="6:15">
      <c r="F217"/>
      <c r="I217"/>
      <c r="L217"/>
      <c r="O217"/>
    </row>
    <row r="218" spans="6:15">
      <c r="F218"/>
      <c r="I218"/>
      <c r="L218"/>
      <c r="O218"/>
    </row>
    <row r="219" spans="6:15">
      <c r="F219"/>
      <c r="I219"/>
      <c r="L219"/>
      <c r="O219"/>
    </row>
    <row r="220" spans="6:15">
      <c r="F220"/>
      <c r="I220"/>
      <c r="L220"/>
      <c r="O220"/>
    </row>
    <row r="221" spans="6:15">
      <c r="F221"/>
      <c r="I221"/>
      <c r="L221"/>
      <c r="O221"/>
    </row>
    <row r="222" spans="6:15">
      <c r="F222"/>
      <c r="I222"/>
      <c r="L222"/>
      <c r="O222"/>
    </row>
    <row r="223" spans="6:15">
      <c r="F223"/>
      <c r="I223"/>
      <c r="L223"/>
      <c r="O223"/>
    </row>
    <row r="224" spans="6:15">
      <c r="F224"/>
      <c r="I224"/>
      <c r="L224"/>
      <c r="O224"/>
    </row>
    <row r="225" spans="6:15">
      <c r="F225"/>
      <c r="I225"/>
      <c r="L225"/>
      <c r="O225"/>
    </row>
    <row r="226" spans="6:15">
      <c r="F226"/>
      <c r="I226"/>
      <c r="L226"/>
      <c r="O226"/>
    </row>
    <row r="227" spans="6:15">
      <c r="F227"/>
      <c r="I227"/>
      <c r="L227"/>
      <c r="O227"/>
    </row>
    <row r="228" spans="6:15">
      <c r="F228"/>
      <c r="I228"/>
      <c r="L228"/>
      <c r="O228"/>
    </row>
    <row r="229" spans="6:15">
      <c r="F229"/>
      <c r="I229"/>
      <c r="L229"/>
      <c r="O229"/>
    </row>
    <row r="230" spans="6:15">
      <c r="F230"/>
      <c r="I230"/>
      <c r="L230"/>
      <c r="O230"/>
    </row>
    <row r="231" spans="6:15">
      <c r="F231"/>
      <c r="I231"/>
      <c r="L231"/>
      <c r="O231"/>
    </row>
    <row r="232" spans="6:15">
      <c r="F232"/>
      <c r="I232"/>
      <c r="L232"/>
      <c r="O232"/>
    </row>
    <row r="233" spans="6:15">
      <c r="F233"/>
      <c r="I233"/>
      <c r="L233"/>
      <c r="O233"/>
    </row>
  </sheetData>
  <mergeCells count="2">
    <mergeCell ref="D5:O5"/>
    <mergeCell ref="D29:O29"/>
  </mergeCells>
  <phoneticPr fontId="0" type="noConversion"/>
  <pageMargins left="0.5" right="0.5" top="0.5" bottom="0.5" header="0.5" footer="0.5"/>
  <pageSetup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25"/>
  <sheetViews>
    <sheetView workbookViewId="0">
      <pane ySplit="2" topLeftCell="A3" activePane="bottomLeft" state="frozen"/>
      <selection pane="bottomLeft" activeCell="C35" sqref="C35"/>
    </sheetView>
  </sheetViews>
  <sheetFormatPr defaultRowHeight="12.75"/>
  <cols>
    <col min="1" max="1" width="35.42578125" style="20" customWidth="1"/>
    <col min="2" max="2" width="10.7109375" style="1" customWidth="1"/>
    <col min="3" max="3" width="11.7109375" style="1" customWidth="1"/>
    <col min="4" max="4" width="15.5703125" style="1" customWidth="1"/>
    <col min="5" max="5" width="14.28515625" style="1" customWidth="1"/>
    <col min="6" max="6" width="9.140625" style="377"/>
    <col min="7" max="16384" width="9.140625" style="1"/>
  </cols>
  <sheetData>
    <row r="1" spans="1:6" ht="22.5" customHeight="1">
      <c r="A1" s="362" t="s">
        <v>339</v>
      </c>
    </row>
    <row r="2" spans="1:6" ht="48" customHeight="1" thickBot="1">
      <c r="A2" s="131" t="s">
        <v>119</v>
      </c>
      <c r="B2" s="351" t="s">
        <v>260</v>
      </c>
      <c r="C2" s="351" t="s">
        <v>261</v>
      </c>
      <c r="D2" s="345" t="s">
        <v>196</v>
      </c>
      <c r="E2" s="344" t="s">
        <v>197</v>
      </c>
    </row>
    <row r="3" spans="1:6">
      <c r="A3" t="s">
        <v>123</v>
      </c>
      <c r="B3" s="142" t="s">
        <v>67</v>
      </c>
      <c r="C3" s="349">
        <v>40000</v>
      </c>
      <c r="D3" s="346">
        <v>40000</v>
      </c>
      <c r="E3" s="2" t="s">
        <v>66</v>
      </c>
    </row>
    <row r="4" spans="1:6">
      <c r="A4" t="s">
        <v>120</v>
      </c>
      <c r="B4" s="142" t="s">
        <v>62</v>
      </c>
      <c r="C4" s="349">
        <f>46713*2</f>
        <v>93426</v>
      </c>
      <c r="D4" s="346">
        <f>C4</f>
        <v>93426</v>
      </c>
      <c r="E4" s="2" t="s">
        <v>61</v>
      </c>
    </row>
    <row r="5" spans="1:6">
      <c r="A5" t="s">
        <v>205</v>
      </c>
      <c r="B5" s="142" t="s">
        <v>68</v>
      </c>
      <c r="C5" s="349">
        <v>63000</v>
      </c>
      <c r="D5" s="346">
        <v>63000</v>
      </c>
      <c r="E5" s="2" t="s">
        <v>68</v>
      </c>
    </row>
    <row r="6" spans="1:6">
      <c r="A6" t="s">
        <v>194</v>
      </c>
      <c r="B6" s="142" t="s">
        <v>69</v>
      </c>
      <c r="C6" s="349">
        <v>24000</v>
      </c>
      <c r="D6" s="346">
        <v>26000</v>
      </c>
      <c r="E6" s="2" t="s">
        <v>69</v>
      </c>
    </row>
    <row r="7" spans="1:6">
      <c r="A7" s="22" t="s">
        <v>47</v>
      </c>
      <c r="B7" s="65" t="s">
        <v>66</v>
      </c>
      <c r="C7" s="349">
        <f>23000</f>
        <v>23000</v>
      </c>
      <c r="D7" s="346">
        <f>C7</f>
        <v>23000</v>
      </c>
      <c r="E7" s="2" t="s">
        <v>66</v>
      </c>
    </row>
    <row r="8" spans="1:6">
      <c r="A8" s="19" t="s">
        <v>6</v>
      </c>
      <c r="B8" s="65" t="s">
        <v>67</v>
      </c>
      <c r="C8" s="349">
        <v>10000</v>
      </c>
      <c r="D8" s="346">
        <v>10000</v>
      </c>
      <c r="E8" s="2" t="s">
        <v>67</v>
      </c>
    </row>
    <row r="9" spans="1:6">
      <c r="A9" s="19" t="s">
        <v>7</v>
      </c>
      <c r="B9" s="65" t="s">
        <v>61</v>
      </c>
      <c r="C9" s="349">
        <v>0</v>
      </c>
      <c r="D9" s="346">
        <v>0</v>
      </c>
      <c r="E9" s="2" t="s">
        <v>136</v>
      </c>
      <c r="F9" s="130" t="s">
        <v>267</v>
      </c>
    </row>
    <row r="10" spans="1:6">
      <c r="A10" s="22" t="s">
        <v>11</v>
      </c>
      <c r="B10" s="65" t="s">
        <v>65</v>
      </c>
      <c r="C10" s="349">
        <v>100000</v>
      </c>
      <c r="D10" s="346">
        <v>110000</v>
      </c>
      <c r="E10" s="2" t="s">
        <v>67</v>
      </c>
    </row>
    <row r="11" spans="1:6">
      <c r="A11" s="22" t="s">
        <v>265</v>
      </c>
      <c r="B11" s="65" t="s">
        <v>64</v>
      </c>
      <c r="C11" s="349">
        <v>175000</v>
      </c>
      <c r="D11" s="346">
        <v>0</v>
      </c>
      <c r="E11" s="2" t="s">
        <v>136</v>
      </c>
      <c r="F11" s="130" t="s">
        <v>266</v>
      </c>
    </row>
    <row r="12" spans="1:6">
      <c r="A12" t="s">
        <v>125</v>
      </c>
      <c r="B12" s="143" t="s">
        <v>63</v>
      </c>
      <c r="C12" s="349">
        <v>99600</v>
      </c>
      <c r="D12" s="346">
        <v>99600</v>
      </c>
      <c r="E12" s="2" t="s">
        <v>62</v>
      </c>
    </row>
    <row r="13" spans="1:6">
      <c r="A13" t="s">
        <v>86</v>
      </c>
      <c r="B13" s="143" t="s">
        <v>67</v>
      </c>
      <c r="C13" s="349">
        <v>99600</v>
      </c>
      <c r="D13" s="346">
        <v>0</v>
      </c>
      <c r="E13" s="2" t="s">
        <v>136</v>
      </c>
      <c r="F13" s="130" t="s">
        <v>266</v>
      </c>
    </row>
    <row r="14" spans="1:6">
      <c r="A14" s="19" t="s">
        <v>3</v>
      </c>
      <c r="B14" s="65" t="s">
        <v>67</v>
      </c>
      <c r="C14" s="349">
        <f>10197*1.03</f>
        <v>10502.91</v>
      </c>
      <c r="D14" s="346">
        <v>11000</v>
      </c>
      <c r="E14" s="2" t="s">
        <v>66</v>
      </c>
    </row>
    <row r="15" spans="1:6">
      <c r="A15" s="19" t="s">
        <v>1</v>
      </c>
      <c r="B15" s="65" t="s">
        <v>67</v>
      </c>
      <c r="C15" s="349">
        <v>7725</v>
      </c>
      <c r="D15" s="346">
        <v>7725</v>
      </c>
      <c r="E15" s="2" t="s">
        <v>66</v>
      </c>
    </row>
    <row r="16" spans="1:6">
      <c r="A16" s="19" t="s">
        <v>5</v>
      </c>
      <c r="B16" s="65" t="s">
        <v>60</v>
      </c>
      <c r="C16" s="349">
        <v>15400</v>
      </c>
      <c r="D16" s="346">
        <v>16000</v>
      </c>
      <c r="E16" s="2" t="s">
        <v>68</v>
      </c>
    </row>
    <row r="17" spans="1:6">
      <c r="A17" s="19" t="s">
        <v>206</v>
      </c>
      <c r="B17" s="65" t="s">
        <v>62</v>
      </c>
      <c r="C17" s="349">
        <v>23000</v>
      </c>
      <c r="D17" s="346">
        <v>23500</v>
      </c>
      <c r="E17" s="2" t="s">
        <v>69</v>
      </c>
    </row>
    <row r="18" spans="1:6">
      <c r="A18" s="22" t="s">
        <v>10</v>
      </c>
      <c r="B18" s="65" t="s">
        <v>65</v>
      </c>
      <c r="C18" s="349">
        <v>8487</v>
      </c>
      <c r="D18" s="346">
        <v>10000</v>
      </c>
      <c r="E18" s="2" t="s">
        <v>67</v>
      </c>
    </row>
    <row r="19" spans="1:6">
      <c r="A19" s="19" t="s">
        <v>124</v>
      </c>
      <c r="B19" s="65" t="s">
        <v>65</v>
      </c>
      <c r="C19" s="349">
        <v>23000</v>
      </c>
      <c r="D19" s="346">
        <f>C19</f>
        <v>23000</v>
      </c>
      <c r="E19" s="2" t="s">
        <v>65</v>
      </c>
    </row>
    <row r="20" spans="1:6">
      <c r="A20" s="19" t="s">
        <v>121</v>
      </c>
      <c r="B20" s="65" t="s">
        <v>63</v>
      </c>
      <c r="C20" s="349">
        <v>10890</v>
      </c>
      <c r="D20" s="346">
        <v>10000</v>
      </c>
      <c r="E20" s="2" t="s">
        <v>62</v>
      </c>
    </row>
    <row r="21" spans="1:6">
      <c r="A21" t="s">
        <v>74</v>
      </c>
      <c r="B21" s="143" t="s">
        <v>67</v>
      </c>
      <c r="C21" s="349">
        <v>84660</v>
      </c>
      <c r="D21" s="346">
        <f>C21</f>
        <v>84660</v>
      </c>
      <c r="E21" s="2" t="s">
        <v>66</v>
      </c>
    </row>
    <row r="22" spans="1:6">
      <c r="A22" s="19" t="s">
        <v>4</v>
      </c>
      <c r="B22" s="65" t="s">
        <v>65</v>
      </c>
      <c r="C22" s="349">
        <v>4200</v>
      </c>
      <c r="D22" s="346">
        <f>C22</f>
        <v>4200</v>
      </c>
      <c r="E22" s="2" t="s">
        <v>67</v>
      </c>
    </row>
    <row r="23" spans="1:6">
      <c r="A23" s="19" t="s">
        <v>2</v>
      </c>
      <c r="B23" s="65" t="s">
        <v>64</v>
      </c>
      <c r="C23" s="349">
        <v>16000</v>
      </c>
      <c r="D23" s="346">
        <v>17000</v>
      </c>
      <c r="E23" s="2" t="s">
        <v>91</v>
      </c>
    </row>
    <row r="24" spans="1:6">
      <c r="A24" s="23" t="s">
        <v>12</v>
      </c>
      <c r="B24" s="65" t="s">
        <v>66</v>
      </c>
      <c r="C24" s="349">
        <v>21000</v>
      </c>
      <c r="D24" s="346">
        <v>22000</v>
      </c>
      <c r="E24" s="2" t="s">
        <v>66</v>
      </c>
    </row>
    <row r="25" spans="1:6">
      <c r="A25" s="22" t="s">
        <v>9</v>
      </c>
      <c r="B25" s="65" t="s">
        <v>64</v>
      </c>
      <c r="C25" s="349">
        <v>18000</v>
      </c>
      <c r="D25" s="346">
        <f>C25</f>
        <v>18000</v>
      </c>
      <c r="E25" s="2" t="s">
        <v>91</v>
      </c>
    </row>
    <row r="26" spans="1:6">
      <c r="A26" t="s">
        <v>97</v>
      </c>
      <c r="B26" s="144" t="s">
        <v>67</v>
      </c>
      <c r="C26" s="349">
        <v>99600</v>
      </c>
      <c r="D26" s="346">
        <v>144000</v>
      </c>
      <c r="E26" s="2" t="s">
        <v>66</v>
      </c>
    </row>
    <row r="27" spans="1:6">
      <c r="A27" s="19" t="s">
        <v>122</v>
      </c>
      <c r="B27" s="65" t="s">
        <v>63</v>
      </c>
      <c r="C27" s="349">
        <v>6600</v>
      </c>
      <c r="D27" s="346">
        <f>C27</f>
        <v>6600</v>
      </c>
      <c r="E27" s="2" t="s">
        <v>91</v>
      </c>
    </row>
    <row r="28" spans="1:6">
      <c r="A28" s="19" t="s">
        <v>8</v>
      </c>
      <c r="B28" s="65" t="s">
        <v>80</v>
      </c>
      <c r="C28" s="349">
        <v>49200</v>
      </c>
      <c r="D28" s="346">
        <v>50000</v>
      </c>
      <c r="E28" s="2" t="s">
        <v>64</v>
      </c>
    </row>
    <row r="29" spans="1:6">
      <c r="A29" s="19" t="s">
        <v>193</v>
      </c>
      <c r="B29" s="65" t="s">
        <v>61</v>
      </c>
      <c r="C29" s="349">
        <v>144000</v>
      </c>
      <c r="D29" s="346">
        <f>C29</f>
        <v>144000</v>
      </c>
      <c r="E29" s="2" t="s">
        <v>60</v>
      </c>
    </row>
    <row r="30" spans="1:6">
      <c r="A30" s="19" t="s">
        <v>207</v>
      </c>
      <c r="B30" s="65" t="s">
        <v>66</v>
      </c>
      <c r="C30" s="349">
        <v>50000</v>
      </c>
      <c r="D30" s="346">
        <v>0</v>
      </c>
      <c r="E30" s="2" t="s">
        <v>136</v>
      </c>
      <c r="F30" s="130" t="s">
        <v>266</v>
      </c>
    </row>
    <row r="31" spans="1:6">
      <c r="A31" s="19" t="s">
        <v>195</v>
      </c>
      <c r="B31" s="65" t="s">
        <v>61</v>
      </c>
      <c r="C31" s="349">
        <v>10000</v>
      </c>
      <c r="D31" s="346">
        <v>10000</v>
      </c>
      <c r="E31" s="2" t="s">
        <v>60</v>
      </c>
    </row>
    <row r="32" spans="1:6">
      <c r="A32" s="19" t="s">
        <v>95</v>
      </c>
      <c r="B32" s="65" t="s">
        <v>60</v>
      </c>
      <c r="C32" s="349">
        <v>36000</v>
      </c>
      <c r="D32" s="346">
        <v>0</v>
      </c>
      <c r="E32" s="2" t="s">
        <v>136</v>
      </c>
      <c r="F32" s="130" t="s">
        <v>266</v>
      </c>
    </row>
    <row r="33" spans="1:6">
      <c r="A33" s="19" t="s">
        <v>259</v>
      </c>
      <c r="B33" s="65" t="s">
        <v>64</v>
      </c>
      <c r="C33" s="349">
        <v>150000</v>
      </c>
      <c r="D33" s="346">
        <v>0</v>
      </c>
      <c r="E33" s="2" t="s">
        <v>136</v>
      </c>
      <c r="F33" s="130" t="s">
        <v>266</v>
      </c>
    </row>
    <row r="34" spans="1:6">
      <c r="A34" s="19" t="s">
        <v>264</v>
      </c>
      <c r="B34" s="65" t="s">
        <v>80</v>
      </c>
      <c r="C34" s="349">
        <v>99600</v>
      </c>
      <c r="D34" s="346">
        <v>99600</v>
      </c>
      <c r="E34" s="2" t="s">
        <v>80</v>
      </c>
    </row>
    <row r="35" spans="1:6">
      <c r="A35" s="19" t="s">
        <v>268</v>
      </c>
      <c r="B35" s="65" t="s">
        <v>67</v>
      </c>
      <c r="C35" s="349">
        <v>144000</v>
      </c>
      <c r="D35" s="346">
        <v>0</v>
      </c>
      <c r="E35" s="2" t="s">
        <v>136</v>
      </c>
      <c r="F35" s="130" t="s">
        <v>266</v>
      </c>
    </row>
    <row r="36" spans="1:6">
      <c r="A36" s="19"/>
      <c r="B36" s="65"/>
      <c r="C36" s="349"/>
      <c r="D36" s="346"/>
      <c r="E36" s="2"/>
      <c r="F36" s="130"/>
    </row>
    <row r="37" spans="1:6" ht="13.5" thickBot="1">
      <c r="A37" s="66"/>
      <c r="B37" s="67"/>
      <c r="C37" s="350"/>
      <c r="D37" s="347">
        <f>C37</f>
        <v>0</v>
      </c>
      <c r="E37" s="68"/>
      <c r="F37" s="378"/>
    </row>
    <row r="38" spans="1:6" ht="13.5" thickTop="1">
      <c r="A38"/>
      <c r="B38"/>
      <c r="C38" s="348">
        <f>SUM(C3:C37)</f>
        <v>1759490.9100000001</v>
      </c>
      <c r="D38" s="348">
        <f>SUM(D3:D37)</f>
        <v>1166311</v>
      </c>
    </row>
    <row r="39" spans="1:6">
      <c r="A39"/>
      <c r="B39"/>
      <c r="C39" s="352"/>
      <c r="D39" s="663" t="s">
        <v>263</v>
      </c>
      <c r="E39" s="663"/>
    </row>
    <row r="40" spans="1:6">
      <c r="A40"/>
      <c r="B40"/>
      <c r="C40" s="16"/>
      <c r="D40" s="663"/>
      <c r="E40" s="663"/>
    </row>
    <row r="41" spans="1:6">
      <c r="A41"/>
      <c r="B41"/>
      <c r="C41" s="16"/>
    </row>
    <row r="42" spans="1:6">
      <c r="A42"/>
      <c r="B42" t="s">
        <v>262</v>
      </c>
      <c r="C42" s="16"/>
    </row>
    <row r="43" spans="1:6">
      <c r="A43"/>
      <c r="B43"/>
      <c r="C43" s="16"/>
    </row>
    <row r="44" spans="1:6">
      <c r="A44"/>
      <c r="B44"/>
      <c r="C44" s="16"/>
    </row>
    <row r="45" spans="1:6">
      <c r="A45"/>
      <c r="B45"/>
      <c r="C45" s="16"/>
    </row>
    <row r="46" spans="1:6">
      <c r="A46"/>
      <c r="B46"/>
      <c r="C46" s="16"/>
    </row>
    <row r="47" spans="1:6">
      <c r="A47"/>
      <c r="B47"/>
      <c r="C47" s="16"/>
    </row>
    <row r="48" spans="1:6">
      <c r="A48"/>
      <c r="B48"/>
      <c r="C48" s="16"/>
    </row>
    <row r="49" spans="1:3">
      <c r="A49"/>
      <c r="B49"/>
      <c r="C49" s="16"/>
    </row>
    <row r="50" spans="1:3">
      <c r="A50"/>
      <c r="B50"/>
      <c r="C50" s="16"/>
    </row>
    <row r="51" spans="1:3">
      <c r="A51"/>
      <c r="B51"/>
      <c r="C51" s="16"/>
    </row>
    <row r="52" spans="1:3">
      <c r="A52"/>
      <c r="B52"/>
      <c r="C52" s="16"/>
    </row>
    <row r="53" spans="1:3">
      <c r="A53"/>
      <c r="B53"/>
      <c r="C53" s="16"/>
    </row>
    <row r="54" spans="1:3">
      <c r="A54"/>
      <c r="B54"/>
      <c r="C54" s="16"/>
    </row>
    <row r="55" spans="1:3">
      <c r="A55"/>
      <c r="B55"/>
      <c r="C55" s="16"/>
    </row>
    <row r="56" spans="1:3">
      <c r="A56"/>
      <c r="B56"/>
      <c r="C56" s="16"/>
    </row>
    <row r="57" spans="1:3">
      <c r="A57"/>
      <c r="B57"/>
      <c r="C57" s="16"/>
    </row>
    <row r="58" spans="1:3">
      <c r="A58"/>
      <c r="B58"/>
      <c r="C58" s="16"/>
    </row>
    <row r="59" spans="1:3">
      <c r="A59"/>
      <c r="B59"/>
      <c r="C59" s="16"/>
    </row>
    <row r="60" spans="1:3">
      <c r="A60"/>
      <c r="B60"/>
      <c r="C60" s="16"/>
    </row>
    <row r="61" spans="1:3">
      <c r="A61"/>
      <c r="B61"/>
      <c r="C61" s="16"/>
    </row>
    <row r="62" spans="1:3">
      <c r="A62"/>
      <c r="B62"/>
      <c r="C62" s="16"/>
    </row>
    <row r="63" spans="1:3">
      <c r="A63"/>
      <c r="B63"/>
      <c r="C63" s="16"/>
    </row>
    <row r="64" spans="1:3">
      <c r="A64"/>
      <c r="B64"/>
      <c r="C64" s="16"/>
    </row>
    <row r="65" spans="1:3">
      <c r="A65"/>
      <c r="B65"/>
      <c r="C65" s="16"/>
    </row>
    <row r="66" spans="1:3">
      <c r="A66"/>
      <c r="B66"/>
      <c r="C66" s="16"/>
    </row>
    <row r="67" spans="1:3">
      <c r="A67"/>
      <c r="B67"/>
      <c r="C67" s="16"/>
    </row>
    <row r="68" spans="1:3">
      <c r="A68"/>
      <c r="B68"/>
      <c r="C68" s="16"/>
    </row>
    <row r="69" spans="1:3">
      <c r="A69"/>
      <c r="B69"/>
      <c r="C69" s="16"/>
    </row>
    <row r="70" spans="1:3">
      <c r="A70"/>
      <c r="B70"/>
      <c r="C70" s="16"/>
    </row>
    <row r="71" spans="1:3">
      <c r="A71"/>
      <c r="B71"/>
      <c r="C71" s="16"/>
    </row>
    <row r="72" spans="1:3">
      <c r="A72"/>
      <c r="B72"/>
      <c r="C72" s="16"/>
    </row>
    <row r="73" spans="1:3">
      <c r="A73"/>
      <c r="B73"/>
      <c r="C73" s="16"/>
    </row>
    <row r="74" spans="1:3">
      <c r="A74"/>
      <c r="B74"/>
      <c r="C74" s="16"/>
    </row>
    <row r="75" spans="1:3">
      <c r="A75"/>
      <c r="B75"/>
      <c r="C75" s="16"/>
    </row>
    <row r="76" spans="1:3">
      <c r="A76"/>
      <c r="B76"/>
      <c r="C76" s="16"/>
    </row>
    <row r="77" spans="1:3">
      <c r="A77"/>
      <c r="B77"/>
      <c r="C77" s="16"/>
    </row>
    <row r="78" spans="1:3">
      <c r="A78"/>
      <c r="B78"/>
      <c r="C78" s="16"/>
    </row>
    <row r="79" spans="1:3">
      <c r="A79"/>
      <c r="B79"/>
      <c r="C79" s="16"/>
    </row>
    <row r="80" spans="1:3">
      <c r="A80"/>
      <c r="B80"/>
      <c r="C80" s="16"/>
    </row>
    <row r="81" spans="1:3">
      <c r="A81"/>
      <c r="B81"/>
      <c r="C81" s="16"/>
    </row>
    <row r="82" spans="1:3">
      <c r="A82"/>
      <c r="B82"/>
      <c r="C82" s="16"/>
    </row>
    <row r="83" spans="1:3">
      <c r="A83"/>
      <c r="B83"/>
      <c r="C83" s="16"/>
    </row>
    <row r="84" spans="1:3">
      <c r="A84"/>
      <c r="B84"/>
      <c r="C84" s="16"/>
    </row>
    <row r="85" spans="1:3">
      <c r="A85"/>
      <c r="B85"/>
      <c r="C85" s="16"/>
    </row>
    <row r="86" spans="1:3">
      <c r="A86"/>
      <c r="B86"/>
      <c r="C86" s="16"/>
    </row>
    <row r="87" spans="1:3">
      <c r="A87"/>
      <c r="B87"/>
      <c r="C87" s="16"/>
    </row>
    <row r="88" spans="1:3">
      <c r="A88"/>
      <c r="B88"/>
      <c r="C88" s="16"/>
    </row>
    <row r="89" spans="1:3">
      <c r="A89"/>
      <c r="B89"/>
      <c r="C89" s="16"/>
    </row>
    <row r="90" spans="1:3">
      <c r="A90"/>
      <c r="B90"/>
      <c r="C90" s="16"/>
    </row>
    <row r="91" spans="1:3">
      <c r="A91"/>
      <c r="B91"/>
      <c r="C91" s="16"/>
    </row>
    <row r="92" spans="1:3">
      <c r="A92"/>
      <c r="B92"/>
      <c r="C92" s="16"/>
    </row>
    <row r="93" spans="1:3">
      <c r="A93"/>
      <c r="B93"/>
      <c r="C93" s="16"/>
    </row>
    <row r="94" spans="1:3">
      <c r="A94"/>
      <c r="B94"/>
      <c r="C94" s="16"/>
    </row>
    <row r="95" spans="1:3">
      <c r="A95"/>
      <c r="B95"/>
      <c r="C95" s="16"/>
    </row>
    <row r="96" spans="1:3">
      <c r="A96"/>
      <c r="B96"/>
      <c r="C96" s="16"/>
    </row>
    <row r="97" spans="1:3">
      <c r="A97"/>
      <c r="B97"/>
      <c r="C97" s="16"/>
    </row>
    <row r="98" spans="1:3">
      <c r="A98"/>
      <c r="B98"/>
      <c r="C98" s="16"/>
    </row>
    <row r="99" spans="1:3">
      <c r="A99"/>
      <c r="B99"/>
      <c r="C99" s="16"/>
    </row>
    <row r="100" spans="1:3">
      <c r="A100"/>
      <c r="B100"/>
      <c r="C100" s="16"/>
    </row>
    <row r="101" spans="1:3">
      <c r="A101"/>
      <c r="B101"/>
      <c r="C101" s="16"/>
    </row>
    <row r="102" spans="1:3">
      <c r="A102"/>
      <c r="B102"/>
      <c r="C102" s="16"/>
    </row>
    <row r="103" spans="1:3">
      <c r="A103"/>
      <c r="B103"/>
      <c r="C103" s="16"/>
    </row>
    <row r="104" spans="1:3">
      <c r="A104"/>
      <c r="B104"/>
      <c r="C104" s="16"/>
    </row>
    <row r="105" spans="1:3">
      <c r="A105"/>
      <c r="B105"/>
      <c r="C105" s="16"/>
    </row>
    <row r="106" spans="1:3">
      <c r="A106"/>
      <c r="B106"/>
      <c r="C106" s="16"/>
    </row>
    <row r="107" spans="1:3">
      <c r="A107"/>
      <c r="B107"/>
      <c r="C107" s="16"/>
    </row>
    <row r="108" spans="1:3">
      <c r="A108"/>
      <c r="B108"/>
      <c r="C108" s="16"/>
    </row>
    <row r="109" spans="1:3">
      <c r="A109"/>
      <c r="B109"/>
      <c r="C109" s="16"/>
    </row>
    <row r="110" spans="1:3">
      <c r="A110"/>
      <c r="B110"/>
      <c r="C110" s="16"/>
    </row>
    <row r="111" spans="1:3">
      <c r="A111"/>
      <c r="B111"/>
      <c r="C111" s="16"/>
    </row>
    <row r="112" spans="1:3">
      <c r="A112"/>
      <c r="B112"/>
      <c r="C112" s="16"/>
    </row>
    <row r="113" spans="1:3">
      <c r="A113"/>
      <c r="B113"/>
      <c r="C113" s="16"/>
    </row>
    <row r="114" spans="1:3">
      <c r="A114"/>
      <c r="B114"/>
      <c r="C114" s="16"/>
    </row>
    <row r="115" spans="1:3">
      <c r="A115"/>
      <c r="B115"/>
      <c r="C115" s="16"/>
    </row>
    <row r="116" spans="1:3">
      <c r="A116"/>
      <c r="B116"/>
      <c r="C116" s="16"/>
    </row>
    <row r="117" spans="1:3">
      <c r="A117"/>
      <c r="B117"/>
      <c r="C117" s="16"/>
    </row>
    <row r="118" spans="1:3">
      <c r="A118"/>
      <c r="B118"/>
      <c r="C118" s="16"/>
    </row>
    <row r="119" spans="1:3">
      <c r="A119"/>
      <c r="B119"/>
      <c r="C119" s="16"/>
    </row>
    <row r="120" spans="1:3">
      <c r="A120"/>
      <c r="B120"/>
      <c r="C120" s="16"/>
    </row>
    <row r="121" spans="1:3">
      <c r="A121"/>
      <c r="B121"/>
      <c r="C121" s="16"/>
    </row>
    <row r="122" spans="1:3">
      <c r="A122"/>
      <c r="B122"/>
      <c r="C122" s="16"/>
    </row>
    <row r="123" spans="1:3">
      <c r="A123"/>
      <c r="B123"/>
      <c r="C123" s="16"/>
    </row>
    <row r="124" spans="1:3">
      <c r="A124"/>
      <c r="B124"/>
      <c r="C124" s="16"/>
    </row>
    <row r="125" spans="1:3">
      <c r="A125"/>
      <c r="B125"/>
      <c r="C125" s="16"/>
    </row>
    <row r="126" spans="1:3">
      <c r="A126"/>
      <c r="B126"/>
      <c r="C126" s="16"/>
    </row>
    <row r="127" spans="1:3">
      <c r="A127"/>
      <c r="B127"/>
      <c r="C127" s="16"/>
    </row>
    <row r="128" spans="1:3">
      <c r="A128"/>
      <c r="B128"/>
      <c r="C128" s="16"/>
    </row>
    <row r="129" spans="1:3">
      <c r="A129"/>
      <c r="B129"/>
      <c r="C129" s="16"/>
    </row>
    <row r="130" spans="1:3">
      <c r="A130"/>
      <c r="B130"/>
      <c r="C130" s="16"/>
    </row>
    <row r="131" spans="1:3">
      <c r="A131"/>
      <c r="B131"/>
      <c r="C131" s="16"/>
    </row>
    <row r="132" spans="1:3">
      <c r="A132"/>
      <c r="B132"/>
      <c r="C132" s="16"/>
    </row>
    <row r="133" spans="1:3">
      <c r="A133"/>
      <c r="B133"/>
      <c r="C133" s="16"/>
    </row>
    <row r="134" spans="1:3">
      <c r="A134"/>
      <c r="B134"/>
      <c r="C134" s="16"/>
    </row>
    <row r="135" spans="1:3">
      <c r="A135"/>
      <c r="B135"/>
      <c r="C135" s="16"/>
    </row>
    <row r="136" spans="1:3">
      <c r="A136"/>
      <c r="B136"/>
      <c r="C136" s="16"/>
    </row>
    <row r="137" spans="1:3">
      <c r="A137"/>
      <c r="B137"/>
      <c r="C137" s="16"/>
    </row>
    <row r="138" spans="1:3">
      <c r="A138"/>
      <c r="B138"/>
      <c r="C138" s="16"/>
    </row>
    <row r="139" spans="1:3">
      <c r="A139"/>
      <c r="B139"/>
      <c r="C139" s="16"/>
    </row>
    <row r="140" spans="1:3">
      <c r="A140"/>
      <c r="B140"/>
      <c r="C140" s="16"/>
    </row>
    <row r="141" spans="1:3">
      <c r="A141"/>
      <c r="B141"/>
      <c r="C141" s="16"/>
    </row>
    <row r="142" spans="1:3">
      <c r="A142"/>
      <c r="B142"/>
      <c r="C142" s="16"/>
    </row>
    <row r="143" spans="1:3">
      <c r="A143"/>
      <c r="B143"/>
      <c r="C143" s="16"/>
    </row>
    <row r="144" spans="1:3">
      <c r="A144"/>
      <c r="B144"/>
      <c r="C144" s="16"/>
    </row>
    <row r="145" spans="1:3">
      <c r="A145"/>
      <c r="B145"/>
      <c r="C145" s="16"/>
    </row>
    <row r="146" spans="1:3">
      <c r="A146"/>
      <c r="B146"/>
      <c r="C146" s="16"/>
    </row>
    <row r="147" spans="1:3">
      <c r="A147"/>
      <c r="B147"/>
      <c r="C147" s="16"/>
    </row>
    <row r="148" spans="1:3">
      <c r="A148"/>
      <c r="B148"/>
      <c r="C148" s="16"/>
    </row>
    <row r="149" spans="1:3">
      <c r="A149"/>
      <c r="B149"/>
      <c r="C149" s="16"/>
    </row>
    <row r="150" spans="1:3">
      <c r="A150"/>
      <c r="B150"/>
      <c r="C150" s="16"/>
    </row>
    <row r="151" spans="1:3">
      <c r="A151"/>
      <c r="B151"/>
      <c r="C151" s="16"/>
    </row>
    <row r="152" spans="1:3">
      <c r="A152"/>
      <c r="B152"/>
      <c r="C152" s="16"/>
    </row>
    <row r="153" spans="1:3">
      <c r="A153"/>
      <c r="B153"/>
      <c r="C153" s="16"/>
    </row>
    <row r="154" spans="1:3">
      <c r="A154"/>
      <c r="B154"/>
      <c r="C154" s="16"/>
    </row>
    <row r="155" spans="1:3">
      <c r="A155"/>
      <c r="B155"/>
      <c r="C155" s="16"/>
    </row>
    <row r="156" spans="1:3">
      <c r="A156"/>
      <c r="B156"/>
      <c r="C156" s="16"/>
    </row>
    <row r="157" spans="1:3">
      <c r="A157"/>
      <c r="B157"/>
      <c r="C157" s="16"/>
    </row>
    <row r="158" spans="1:3">
      <c r="A158"/>
      <c r="B158"/>
      <c r="C158" s="16"/>
    </row>
    <row r="159" spans="1:3">
      <c r="A159"/>
      <c r="B159"/>
      <c r="C159" s="16"/>
    </row>
    <row r="160" spans="1:3">
      <c r="A160"/>
      <c r="B160"/>
      <c r="C160" s="16"/>
    </row>
    <row r="161" spans="1:3">
      <c r="A161"/>
      <c r="B161"/>
      <c r="C161" s="16"/>
    </row>
    <row r="162" spans="1:3">
      <c r="A162"/>
      <c r="B162"/>
      <c r="C162" s="16"/>
    </row>
    <row r="163" spans="1:3">
      <c r="A163"/>
      <c r="B163"/>
      <c r="C163" s="16"/>
    </row>
    <row r="164" spans="1:3">
      <c r="A164"/>
      <c r="B164"/>
      <c r="C164" s="16"/>
    </row>
    <row r="165" spans="1:3">
      <c r="A165"/>
      <c r="B165"/>
      <c r="C165" s="16"/>
    </row>
    <row r="166" spans="1:3">
      <c r="A166"/>
      <c r="B166"/>
      <c r="C166" s="16"/>
    </row>
    <row r="167" spans="1:3">
      <c r="A167"/>
      <c r="B167"/>
      <c r="C167" s="16"/>
    </row>
    <row r="168" spans="1:3">
      <c r="A168"/>
      <c r="B168"/>
      <c r="C168" s="16"/>
    </row>
    <row r="169" spans="1:3">
      <c r="A169"/>
      <c r="B169"/>
      <c r="C169" s="16"/>
    </row>
    <row r="170" spans="1:3">
      <c r="A170"/>
      <c r="B170"/>
      <c r="C170" s="16"/>
    </row>
    <row r="171" spans="1:3">
      <c r="A171"/>
      <c r="B171"/>
      <c r="C171" s="16"/>
    </row>
    <row r="172" spans="1:3">
      <c r="A172"/>
      <c r="B172"/>
      <c r="C172" s="16"/>
    </row>
    <row r="173" spans="1:3">
      <c r="A173"/>
      <c r="B173"/>
      <c r="C173" s="16"/>
    </row>
    <row r="174" spans="1:3">
      <c r="A174"/>
      <c r="B174"/>
      <c r="C174" s="16"/>
    </row>
    <row r="175" spans="1:3">
      <c r="A175"/>
      <c r="B175"/>
      <c r="C175" s="16"/>
    </row>
    <row r="176" spans="1:3">
      <c r="A176"/>
      <c r="B176"/>
      <c r="C176" s="16"/>
    </row>
    <row r="177" spans="1:3">
      <c r="A177"/>
      <c r="B177"/>
      <c r="C177" s="16"/>
    </row>
    <row r="178" spans="1:3">
      <c r="A178"/>
      <c r="B178"/>
      <c r="C178" s="16"/>
    </row>
    <row r="179" spans="1:3">
      <c r="A179"/>
      <c r="B179"/>
      <c r="C179" s="16"/>
    </row>
    <row r="180" spans="1:3">
      <c r="A180"/>
      <c r="B180"/>
      <c r="C180" s="16"/>
    </row>
    <row r="181" spans="1:3">
      <c r="A181"/>
      <c r="B181"/>
      <c r="C181" s="16"/>
    </row>
    <row r="182" spans="1:3">
      <c r="A182"/>
      <c r="B182"/>
      <c r="C182" s="16"/>
    </row>
    <row r="183" spans="1:3">
      <c r="A183"/>
      <c r="B183"/>
      <c r="C183" s="16"/>
    </row>
    <row r="184" spans="1:3">
      <c r="A184"/>
      <c r="B184"/>
      <c r="C184" s="16"/>
    </row>
    <row r="185" spans="1:3">
      <c r="A185"/>
      <c r="B185"/>
      <c r="C185" s="16"/>
    </row>
    <row r="186" spans="1:3">
      <c r="A186"/>
      <c r="B186"/>
      <c r="C186" s="16"/>
    </row>
    <row r="187" spans="1:3">
      <c r="A187"/>
      <c r="B187"/>
      <c r="C187" s="16"/>
    </row>
    <row r="188" spans="1:3">
      <c r="A188"/>
      <c r="B188"/>
      <c r="C188" s="16"/>
    </row>
    <row r="189" spans="1:3">
      <c r="A189"/>
      <c r="B189"/>
      <c r="C189" s="16"/>
    </row>
    <row r="190" spans="1:3">
      <c r="A190"/>
      <c r="B190"/>
      <c r="C190" s="16"/>
    </row>
    <row r="191" spans="1:3">
      <c r="A191"/>
      <c r="B191"/>
      <c r="C191" s="16"/>
    </row>
    <row r="192" spans="1:3">
      <c r="A192"/>
      <c r="B192"/>
      <c r="C192" s="16"/>
    </row>
    <row r="193" spans="1:3">
      <c r="A193"/>
      <c r="B193"/>
      <c r="C193" s="16"/>
    </row>
    <row r="194" spans="1:3">
      <c r="A194"/>
      <c r="B194"/>
      <c r="C194" s="16"/>
    </row>
    <row r="195" spans="1:3">
      <c r="A195"/>
      <c r="B195"/>
      <c r="C195" s="16"/>
    </row>
    <row r="196" spans="1:3">
      <c r="A196"/>
      <c r="B196"/>
      <c r="C196" s="16"/>
    </row>
    <row r="197" spans="1:3">
      <c r="A197"/>
      <c r="B197"/>
      <c r="C197" s="16"/>
    </row>
    <row r="198" spans="1:3">
      <c r="A198"/>
      <c r="B198"/>
      <c r="C198" s="16"/>
    </row>
    <row r="199" spans="1:3">
      <c r="A199"/>
      <c r="B199"/>
      <c r="C199" s="16"/>
    </row>
    <row r="200" spans="1:3">
      <c r="A200"/>
      <c r="B200"/>
      <c r="C200" s="16"/>
    </row>
    <row r="201" spans="1:3">
      <c r="A201"/>
      <c r="B201"/>
      <c r="C201" s="16"/>
    </row>
    <row r="202" spans="1:3">
      <c r="A202"/>
      <c r="B202"/>
      <c r="C202" s="16"/>
    </row>
    <row r="203" spans="1:3">
      <c r="A203"/>
      <c r="B203"/>
      <c r="C203" s="16"/>
    </row>
    <row r="204" spans="1:3">
      <c r="A204"/>
      <c r="B204"/>
      <c r="C204" s="16"/>
    </row>
    <row r="205" spans="1:3">
      <c r="A205"/>
      <c r="B205"/>
      <c r="C205" s="16"/>
    </row>
    <row r="206" spans="1:3">
      <c r="A206"/>
      <c r="B206"/>
      <c r="C206" s="16"/>
    </row>
    <row r="207" spans="1:3">
      <c r="A207"/>
      <c r="B207"/>
      <c r="C207" s="16"/>
    </row>
    <row r="208" spans="1:3">
      <c r="A208"/>
      <c r="B208"/>
      <c r="C208" s="16"/>
    </row>
    <row r="209" spans="1:3">
      <c r="A209"/>
      <c r="B209"/>
      <c r="C209" s="16"/>
    </row>
    <row r="210" spans="1:3">
      <c r="A210"/>
      <c r="B210"/>
      <c r="C210" s="16"/>
    </row>
    <row r="211" spans="1:3">
      <c r="A211"/>
      <c r="B211"/>
      <c r="C211" s="16"/>
    </row>
    <row r="212" spans="1:3">
      <c r="A212"/>
      <c r="B212"/>
      <c r="C212" s="16"/>
    </row>
    <row r="213" spans="1:3">
      <c r="A213"/>
      <c r="B213"/>
      <c r="C213" s="16"/>
    </row>
    <row r="214" spans="1:3">
      <c r="A214"/>
      <c r="B214"/>
      <c r="C214" s="16"/>
    </row>
    <row r="215" spans="1:3">
      <c r="A215"/>
      <c r="B215"/>
      <c r="C215" s="16"/>
    </row>
    <row r="216" spans="1:3">
      <c r="A216"/>
      <c r="B216"/>
      <c r="C216" s="16"/>
    </row>
    <row r="217" spans="1:3">
      <c r="A217"/>
      <c r="B217"/>
      <c r="C217" s="16"/>
    </row>
    <row r="218" spans="1:3">
      <c r="A218"/>
      <c r="B218"/>
      <c r="C218" s="16"/>
    </row>
    <row r="219" spans="1:3">
      <c r="A219"/>
      <c r="B219"/>
      <c r="C219" s="16"/>
    </row>
    <row r="220" spans="1:3">
      <c r="A220"/>
      <c r="B220"/>
      <c r="C220" s="16"/>
    </row>
    <row r="221" spans="1:3">
      <c r="A221"/>
      <c r="B221"/>
      <c r="C221" s="16"/>
    </row>
    <row r="222" spans="1:3">
      <c r="A222"/>
      <c r="B222"/>
      <c r="C222" s="16"/>
    </row>
    <row r="223" spans="1:3">
      <c r="A223"/>
      <c r="B223"/>
      <c r="C223" s="16"/>
    </row>
    <row r="224" spans="1:3">
      <c r="A224"/>
      <c r="B224"/>
      <c r="C224" s="16"/>
    </row>
    <row r="225" spans="1:3">
      <c r="A225"/>
      <c r="B225"/>
      <c r="C225" s="16"/>
    </row>
    <row r="226" spans="1:3">
      <c r="A226"/>
      <c r="B226"/>
      <c r="C226" s="16"/>
    </row>
    <row r="227" spans="1:3">
      <c r="A227"/>
      <c r="B227"/>
      <c r="C227" s="16"/>
    </row>
    <row r="228" spans="1:3">
      <c r="A228"/>
      <c r="B228"/>
      <c r="C228" s="16"/>
    </row>
    <row r="229" spans="1:3">
      <c r="A229"/>
      <c r="B229"/>
      <c r="C229" s="16"/>
    </row>
    <row r="230" spans="1:3">
      <c r="A230"/>
      <c r="B230"/>
      <c r="C230" s="16"/>
    </row>
    <row r="231" spans="1:3">
      <c r="A231"/>
      <c r="B231"/>
      <c r="C231" s="16"/>
    </row>
    <row r="232" spans="1:3">
      <c r="A232"/>
      <c r="B232"/>
      <c r="C232" s="16"/>
    </row>
    <row r="233" spans="1:3">
      <c r="A233"/>
      <c r="B233"/>
      <c r="C233" s="16"/>
    </row>
    <row r="234" spans="1:3">
      <c r="A234"/>
      <c r="B234"/>
      <c r="C234" s="16"/>
    </row>
    <row r="235" spans="1:3">
      <c r="A235"/>
      <c r="B235"/>
      <c r="C235" s="16"/>
    </row>
    <row r="236" spans="1:3">
      <c r="A236"/>
      <c r="B236"/>
      <c r="C236" s="16"/>
    </row>
    <row r="237" spans="1:3">
      <c r="A237"/>
      <c r="B237"/>
      <c r="C237" s="16"/>
    </row>
    <row r="238" spans="1:3">
      <c r="A238"/>
      <c r="B238"/>
      <c r="C238" s="16"/>
    </row>
    <row r="239" spans="1:3">
      <c r="A239"/>
      <c r="B239"/>
      <c r="C239" s="16"/>
    </row>
    <row r="240" spans="1:3">
      <c r="A240"/>
      <c r="B240"/>
      <c r="C240" s="16"/>
    </row>
    <row r="241" spans="1:3">
      <c r="A241"/>
      <c r="B241"/>
      <c r="C241" s="16"/>
    </row>
    <row r="242" spans="1:3">
      <c r="A242"/>
      <c r="B242"/>
      <c r="C242" s="16"/>
    </row>
    <row r="243" spans="1:3">
      <c r="A243"/>
      <c r="B243"/>
      <c r="C243" s="16"/>
    </row>
    <row r="244" spans="1:3">
      <c r="A244"/>
      <c r="B244"/>
      <c r="C244" s="16"/>
    </row>
    <row r="245" spans="1:3">
      <c r="A245"/>
      <c r="B245"/>
      <c r="C245" s="16"/>
    </row>
    <row r="246" spans="1:3">
      <c r="A246"/>
      <c r="B246"/>
      <c r="C246" s="16"/>
    </row>
    <row r="247" spans="1:3">
      <c r="A247"/>
      <c r="B247"/>
      <c r="C247" s="16"/>
    </row>
    <row r="248" spans="1:3">
      <c r="A248"/>
      <c r="B248"/>
      <c r="C248" s="16"/>
    </row>
    <row r="249" spans="1:3">
      <c r="A249"/>
      <c r="B249"/>
      <c r="C249" s="16"/>
    </row>
    <row r="250" spans="1:3">
      <c r="A250"/>
      <c r="B250"/>
      <c r="C250" s="16"/>
    </row>
    <row r="251" spans="1:3">
      <c r="A251"/>
      <c r="B251"/>
      <c r="C251" s="16"/>
    </row>
    <row r="252" spans="1:3">
      <c r="A252"/>
      <c r="B252"/>
      <c r="C252" s="16"/>
    </row>
    <row r="253" spans="1:3">
      <c r="A253"/>
      <c r="B253"/>
      <c r="C253" s="16"/>
    </row>
    <row r="254" spans="1:3">
      <c r="A254"/>
      <c r="B254"/>
      <c r="C254" s="16"/>
    </row>
    <row r="255" spans="1:3">
      <c r="A255"/>
      <c r="B255"/>
      <c r="C255" s="16"/>
    </row>
    <row r="256" spans="1:3">
      <c r="A256"/>
      <c r="B256"/>
      <c r="C256" s="16"/>
    </row>
    <row r="257" spans="1:3">
      <c r="A257"/>
      <c r="B257"/>
      <c r="C257" s="16"/>
    </row>
    <row r="258" spans="1:3">
      <c r="A258"/>
      <c r="B258"/>
      <c r="C258" s="16"/>
    </row>
    <row r="259" spans="1:3">
      <c r="A259"/>
      <c r="B259"/>
      <c r="C259" s="16"/>
    </row>
    <row r="260" spans="1:3">
      <c r="A260"/>
      <c r="B260"/>
      <c r="C260" s="16"/>
    </row>
    <row r="261" spans="1:3">
      <c r="A261"/>
      <c r="B261"/>
      <c r="C261" s="16"/>
    </row>
    <row r="262" spans="1:3">
      <c r="A262"/>
      <c r="B262"/>
      <c r="C262" s="16"/>
    </row>
    <row r="263" spans="1:3">
      <c r="A263"/>
      <c r="B263"/>
      <c r="C263" s="16"/>
    </row>
    <row r="264" spans="1:3">
      <c r="A264"/>
      <c r="B264"/>
      <c r="C264" s="16"/>
    </row>
    <row r="265" spans="1:3">
      <c r="A265"/>
      <c r="B265"/>
      <c r="C265" s="16"/>
    </row>
    <row r="266" spans="1:3">
      <c r="A266"/>
      <c r="B266"/>
      <c r="C266" s="16"/>
    </row>
    <row r="267" spans="1:3">
      <c r="A267"/>
      <c r="B267"/>
      <c r="C267" s="16"/>
    </row>
    <row r="268" spans="1:3">
      <c r="A268"/>
      <c r="B268"/>
      <c r="C268" s="16"/>
    </row>
    <row r="269" spans="1:3">
      <c r="A269"/>
      <c r="B269"/>
      <c r="C269" s="16"/>
    </row>
    <row r="270" spans="1:3">
      <c r="A270"/>
      <c r="B270"/>
      <c r="C270" s="16"/>
    </row>
    <row r="271" spans="1:3">
      <c r="A271"/>
      <c r="B271"/>
      <c r="C271" s="16"/>
    </row>
    <row r="272" spans="1:3">
      <c r="A272"/>
      <c r="B272"/>
      <c r="C272" s="16"/>
    </row>
    <row r="273" spans="1:3">
      <c r="A273"/>
      <c r="B273"/>
      <c r="C273" s="16"/>
    </row>
    <row r="274" spans="1:3">
      <c r="A274"/>
      <c r="B274"/>
      <c r="C274" s="16"/>
    </row>
    <row r="275" spans="1:3">
      <c r="A275"/>
      <c r="B275"/>
      <c r="C275" s="16"/>
    </row>
    <row r="276" spans="1:3">
      <c r="A276"/>
      <c r="B276"/>
      <c r="C276" s="16"/>
    </row>
    <row r="277" spans="1:3">
      <c r="A277"/>
      <c r="B277"/>
      <c r="C277" s="16"/>
    </row>
    <row r="278" spans="1:3">
      <c r="A278"/>
      <c r="B278"/>
      <c r="C278" s="16"/>
    </row>
    <row r="279" spans="1:3">
      <c r="A279"/>
      <c r="B279"/>
      <c r="C279" s="16"/>
    </row>
    <row r="280" spans="1:3">
      <c r="A280"/>
      <c r="B280"/>
      <c r="C280" s="16"/>
    </row>
    <row r="281" spans="1:3">
      <c r="A281"/>
      <c r="B281"/>
      <c r="C281" s="16"/>
    </row>
    <row r="282" spans="1:3">
      <c r="A282"/>
      <c r="B282"/>
      <c r="C282" s="16"/>
    </row>
    <row r="283" spans="1:3">
      <c r="A283"/>
      <c r="B283"/>
      <c r="C283" s="16"/>
    </row>
    <row r="284" spans="1:3">
      <c r="A284"/>
      <c r="B284"/>
      <c r="C284" s="16"/>
    </row>
    <row r="285" spans="1:3">
      <c r="A285"/>
      <c r="B285"/>
      <c r="C285" s="16"/>
    </row>
    <row r="286" spans="1:3">
      <c r="A286"/>
      <c r="B286"/>
      <c r="C286" s="16"/>
    </row>
    <row r="287" spans="1:3">
      <c r="A287"/>
      <c r="B287"/>
      <c r="C287" s="16"/>
    </row>
    <row r="288" spans="1:3">
      <c r="A288"/>
      <c r="B288"/>
      <c r="C288" s="16"/>
    </row>
    <row r="289" spans="1:3">
      <c r="A289"/>
      <c r="B289"/>
      <c r="C289" s="16"/>
    </row>
    <row r="290" spans="1:3">
      <c r="A290"/>
      <c r="B290"/>
      <c r="C290" s="16"/>
    </row>
    <row r="291" spans="1:3">
      <c r="A291"/>
      <c r="B291"/>
      <c r="C291" s="16"/>
    </row>
    <row r="292" spans="1:3">
      <c r="A292"/>
      <c r="B292"/>
      <c r="C292" s="16"/>
    </row>
    <row r="293" spans="1:3">
      <c r="A293"/>
      <c r="B293"/>
      <c r="C293" s="16"/>
    </row>
    <row r="294" spans="1:3">
      <c r="A294"/>
      <c r="B294"/>
      <c r="C294" s="16"/>
    </row>
    <row r="295" spans="1:3">
      <c r="A295"/>
      <c r="B295"/>
      <c r="C295" s="16"/>
    </row>
    <row r="296" spans="1:3">
      <c r="A296"/>
      <c r="B296"/>
      <c r="C296" s="16"/>
    </row>
    <row r="297" spans="1:3">
      <c r="A297"/>
      <c r="B297"/>
      <c r="C297" s="16"/>
    </row>
    <row r="298" spans="1:3">
      <c r="A298"/>
      <c r="B298"/>
      <c r="C298" s="16"/>
    </row>
    <row r="299" spans="1:3">
      <c r="A299"/>
      <c r="B299"/>
      <c r="C299" s="16"/>
    </row>
    <row r="300" spans="1:3">
      <c r="A300"/>
      <c r="B300"/>
      <c r="C300" s="16"/>
    </row>
    <row r="301" spans="1:3">
      <c r="A301"/>
      <c r="B301"/>
      <c r="C301" s="16"/>
    </row>
    <row r="302" spans="1:3">
      <c r="A302"/>
      <c r="B302"/>
      <c r="C302" s="16"/>
    </row>
    <row r="303" spans="1:3">
      <c r="A303"/>
      <c r="B303"/>
      <c r="C303" s="16"/>
    </row>
    <row r="304" spans="1:3">
      <c r="A304"/>
      <c r="B304"/>
      <c r="C304" s="16"/>
    </row>
    <row r="305" spans="1:3">
      <c r="A305"/>
      <c r="B305"/>
      <c r="C305" s="16"/>
    </row>
    <row r="306" spans="1:3">
      <c r="A306"/>
      <c r="B306"/>
      <c r="C306" s="16"/>
    </row>
    <row r="307" spans="1:3">
      <c r="A307"/>
      <c r="B307"/>
      <c r="C307" s="16"/>
    </row>
    <row r="308" spans="1:3">
      <c r="A308"/>
      <c r="B308"/>
      <c r="C308" s="16"/>
    </row>
    <row r="309" spans="1:3">
      <c r="A309"/>
      <c r="B309"/>
      <c r="C309" s="16"/>
    </row>
    <row r="310" spans="1:3">
      <c r="A310"/>
      <c r="B310"/>
      <c r="C310" s="16"/>
    </row>
    <row r="311" spans="1:3">
      <c r="A311"/>
      <c r="B311"/>
      <c r="C311" s="16"/>
    </row>
    <row r="312" spans="1:3">
      <c r="A312"/>
      <c r="B312"/>
      <c r="C312" s="16"/>
    </row>
    <row r="313" spans="1:3">
      <c r="A313"/>
      <c r="B313"/>
      <c r="C313" s="16"/>
    </row>
    <row r="314" spans="1:3">
      <c r="A314"/>
      <c r="B314"/>
      <c r="C314" s="16"/>
    </row>
    <row r="315" spans="1:3">
      <c r="A315"/>
      <c r="B315"/>
      <c r="C315" s="16"/>
    </row>
    <row r="316" spans="1:3">
      <c r="A316"/>
      <c r="B316"/>
      <c r="C316" s="16"/>
    </row>
    <row r="317" spans="1:3">
      <c r="A317"/>
      <c r="B317"/>
      <c r="C317" s="16"/>
    </row>
    <row r="318" spans="1:3">
      <c r="A318"/>
      <c r="B318"/>
      <c r="C318" s="16"/>
    </row>
    <row r="319" spans="1:3">
      <c r="A319"/>
      <c r="B319"/>
      <c r="C319" s="16"/>
    </row>
    <row r="320" spans="1:3">
      <c r="A320"/>
      <c r="B320"/>
      <c r="C320" s="16"/>
    </row>
    <row r="321" spans="1:3">
      <c r="A321"/>
      <c r="B321"/>
      <c r="C321" s="16"/>
    </row>
    <row r="322" spans="1:3">
      <c r="A322"/>
      <c r="B322"/>
      <c r="C322" s="16"/>
    </row>
    <row r="323" spans="1:3">
      <c r="A323"/>
      <c r="B323"/>
      <c r="C323" s="16"/>
    </row>
    <row r="324" spans="1:3">
      <c r="A324"/>
      <c r="B324"/>
      <c r="C324" s="16"/>
    </row>
    <row r="325" spans="1:3">
      <c r="A325"/>
      <c r="B325"/>
      <c r="C325" s="16"/>
    </row>
    <row r="326" spans="1:3">
      <c r="A326"/>
      <c r="B326"/>
      <c r="C326" s="16"/>
    </row>
    <row r="327" spans="1:3">
      <c r="A327"/>
      <c r="B327"/>
      <c r="C327" s="16"/>
    </row>
    <row r="328" spans="1:3">
      <c r="A328"/>
      <c r="B328"/>
      <c r="C328" s="16"/>
    </row>
    <row r="329" spans="1:3">
      <c r="A329"/>
      <c r="B329"/>
      <c r="C329" s="16"/>
    </row>
    <row r="330" spans="1:3">
      <c r="A330"/>
      <c r="B330"/>
      <c r="C330" s="16"/>
    </row>
    <row r="331" spans="1:3">
      <c r="A331"/>
      <c r="B331"/>
      <c r="C331" s="16"/>
    </row>
    <row r="332" spans="1:3">
      <c r="A332"/>
      <c r="B332"/>
      <c r="C332" s="16"/>
    </row>
    <row r="333" spans="1:3">
      <c r="A333"/>
      <c r="B333"/>
      <c r="C333" s="16"/>
    </row>
    <row r="334" spans="1:3">
      <c r="A334"/>
      <c r="B334"/>
      <c r="C334" s="16"/>
    </row>
    <row r="335" spans="1:3">
      <c r="A335"/>
      <c r="B335"/>
      <c r="C335" s="16"/>
    </row>
    <row r="336" spans="1:3">
      <c r="A336"/>
      <c r="B336"/>
      <c r="C336" s="16"/>
    </row>
    <row r="337" spans="1:3">
      <c r="A337"/>
      <c r="B337"/>
      <c r="C337" s="16"/>
    </row>
    <row r="338" spans="1:3">
      <c r="A338"/>
      <c r="B338"/>
      <c r="C338" s="16"/>
    </row>
    <row r="339" spans="1:3">
      <c r="A339"/>
      <c r="B339"/>
      <c r="C339" s="16"/>
    </row>
    <row r="340" spans="1:3">
      <c r="A340"/>
      <c r="B340"/>
      <c r="C340" s="16"/>
    </row>
    <row r="341" spans="1:3">
      <c r="A341"/>
      <c r="B341"/>
      <c r="C341" s="16"/>
    </row>
    <row r="342" spans="1:3">
      <c r="A342"/>
      <c r="B342"/>
      <c r="C342" s="16"/>
    </row>
    <row r="343" spans="1:3">
      <c r="A343"/>
      <c r="B343"/>
      <c r="C343" s="16"/>
    </row>
    <row r="344" spans="1:3">
      <c r="A344"/>
      <c r="B344"/>
      <c r="C344" s="16"/>
    </row>
    <row r="345" spans="1:3">
      <c r="A345"/>
      <c r="B345"/>
      <c r="C345" s="16"/>
    </row>
    <row r="346" spans="1:3">
      <c r="A346"/>
      <c r="B346"/>
      <c r="C346" s="16"/>
    </row>
    <row r="347" spans="1:3">
      <c r="A347"/>
      <c r="B347"/>
      <c r="C347" s="16"/>
    </row>
    <row r="348" spans="1:3">
      <c r="A348"/>
      <c r="B348"/>
      <c r="C348" s="16"/>
    </row>
    <row r="349" spans="1:3">
      <c r="A349"/>
      <c r="B349"/>
      <c r="C349" s="16"/>
    </row>
    <row r="350" spans="1:3">
      <c r="A350"/>
      <c r="B350"/>
      <c r="C350" s="16"/>
    </row>
    <row r="351" spans="1:3">
      <c r="A351"/>
      <c r="B351"/>
      <c r="C351" s="16"/>
    </row>
    <row r="352" spans="1:3">
      <c r="A352"/>
      <c r="B352"/>
      <c r="C352" s="16"/>
    </row>
    <row r="353" spans="1:3">
      <c r="A353"/>
      <c r="B353"/>
      <c r="C353" s="16"/>
    </row>
    <row r="354" spans="1:3">
      <c r="A354"/>
      <c r="B354"/>
      <c r="C354" s="16"/>
    </row>
    <row r="355" spans="1:3">
      <c r="A355"/>
      <c r="B355"/>
      <c r="C355" s="16"/>
    </row>
    <row r="356" spans="1:3">
      <c r="A356"/>
      <c r="B356"/>
      <c r="C356" s="16"/>
    </row>
    <row r="357" spans="1:3">
      <c r="A357"/>
      <c r="B357"/>
      <c r="C357" s="16"/>
    </row>
    <row r="358" spans="1:3">
      <c r="A358"/>
      <c r="B358"/>
      <c r="C358" s="16"/>
    </row>
    <row r="359" spans="1:3">
      <c r="A359"/>
      <c r="B359"/>
      <c r="C359" s="16"/>
    </row>
    <row r="360" spans="1:3">
      <c r="A360"/>
      <c r="B360"/>
      <c r="C360" s="16"/>
    </row>
    <row r="361" spans="1:3">
      <c r="A361"/>
      <c r="B361"/>
      <c r="C361" s="16"/>
    </row>
    <row r="362" spans="1:3">
      <c r="A362"/>
      <c r="B362"/>
      <c r="C362" s="16"/>
    </row>
    <row r="363" spans="1:3">
      <c r="A363"/>
      <c r="B363"/>
      <c r="C363" s="16"/>
    </row>
    <row r="364" spans="1:3">
      <c r="A364"/>
      <c r="B364"/>
      <c r="C364" s="16"/>
    </row>
    <row r="365" spans="1:3">
      <c r="A365"/>
      <c r="B365"/>
      <c r="C365" s="16"/>
    </row>
    <row r="366" spans="1:3">
      <c r="A366"/>
      <c r="B366"/>
      <c r="C366" s="16"/>
    </row>
    <row r="367" spans="1:3">
      <c r="A367"/>
      <c r="B367"/>
      <c r="C367" s="16"/>
    </row>
    <row r="368" spans="1:3">
      <c r="A368"/>
      <c r="B368"/>
      <c r="C368" s="16"/>
    </row>
    <row r="369" spans="1:3">
      <c r="A369"/>
      <c r="B369"/>
      <c r="C369" s="16"/>
    </row>
    <row r="370" spans="1:3">
      <c r="A370"/>
      <c r="B370"/>
      <c r="C370" s="16"/>
    </row>
    <row r="371" spans="1:3">
      <c r="A371"/>
      <c r="B371"/>
      <c r="C371" s="16"/>
    </row>
    <row r="372" spans="1:3">
      <c r="A372"/>
      <c r="B372"/>
      <c r="C372" s="16"/>
    </row>
    <row r="373" spans="1:3">
      <c r="A373"/>
      <c r="B373"/>
      <c r="C373" s="16"/>
    </row>
    <row r="374" spans="1:3">
      <c r="A374"/>
      <c r="B374"/>
      <c r="C374" s="16"/>
    </row>
    <row r="375" spans="1:3">
      <c r="A375"/>
      <c r="B375"/>
      <c r="C375" s="16"/>
    </row>
    <row r="376" spans="1:3">
      <c r="A376"/>
      <c r="B376"/>
      <c r="C376" s="16"/>
    </row>
    <row r="377" spans="1:3">
      <c r="A377"/>
      <c r="B377"/>
      <c r="C377" s="16"/>
    </row>
    <row r="378" spans="1:3">
      <c r="A378"/>
      <c r="B378"/>
      <c r="C378" s="16"/>
    </row>
    <row r="379" spans="1:3">
      <c r="A379"/>
      <c r="B379"/>
      <c r="C379" s="16"/>
    </row>
    <row r="380" spans="1:3">
      <c r="A380"/>
      <c r="B380"/>
      <c r="C380" s="16"/>
    </row>
    <row r="381" spans="1:3">
      <c r="A381"/>
      <c r="B381"/>
      <c r="C381" s="16"/>
    </row>
    <row r="382" spans="1:3">
      <c r="A382"/>
      <c r="B382"/>
      <c r="C382" s="16"/>
    </row>
    <row r="383" spans="1:3">
      <c r="A383"/>
      <c r="B383"/>
      <c r="C383" s="16"/>
    </row>
    <row r="384" spans="1:3">
      <c r="A384"/>
      <c r="B384"/>
      <c r="C384" s="16"/>
    </row>
    <row r="385" spans="1:3">
      <c r="A385"/>
      <c r="B385"/>
      <c r="C385" s="16"/>
    </row>
    <row r="386" spans="1:3">
      <c r="A386"/>
      <c r="B386"/>
      <c r="C386" s="16"/>
    </row>
    <row r="387" spans="1:3">
      <c r="A387"/>
      <c r="B387"/>
      <c r="C387" s="16"/>
    </row>
    <row r="388" spans="1:3">
      <c r="A388"/>
      <c r="B388"/>
      <c r="C388" s="16"/>
    </row>
    <row r="389" spans="1:3">
      <c r="A389"/>
      <c r="B389"/>
      <c r="C389" s="16"/>
    </row>
    <row r="390" spans="1:3">
      <c r="A390"/>
      <c r="B390"/>
      <c r="C390" s="16"/>
    </row>
    <row r="391" spans="1:3">
      <c r="A391"/>
      <c r="B391"/>
      <c r="C391" s="16"/>
    </row>
    <row r="392" spans="1:3">
      <c r="A392"/>
      <c r="B392"/>
      <c r="C392" s="16"/>
    </row>
    <row r="393" spans="1:3">
      <c r="A393"/>
      <c r="B393"/>
      <c r="C393" s="16"/>
    </row>
    <row r="394" spans="1:3">
      <c r="A394"/>
      <c r="B394"/>
      <c r="C394" s="16"/>
    </row>
    <row r="395" spans="1:3">
      <c r="A395"/>
      <c r="B395"/>
      <c r="C395" s="16"/>
    </row>
    <row r="396" spans="1:3">
      <c r="A396"/>
      <c r="B396"/>
      <c r="C396" s="16"/>
    </row>
    <row r="397" spans="1:3">
      <c r="A397"/>
      <c r="B397"/>
      <c r="C397" s="16"/>
    </row>
    <row r="398" spans="1:3">
      <c r="A398"/>
      <c r="B398"/>
      <c r="C398" s="16"/>
    </row>
    <row r="399" spans="1:3">
      <c r="A399"/>
      <c r="B399"/>
      <c r="C399" s="16"/>
    </row>
    <row r="400" spans="1:3">
      <c r="A400"/>
      <c r="B400"/>
      <c r="C400" s="16"/>
    </row>
    <row r="401" spans="1:3">
      <c r="A401"/>
      <c r="B401"/>
      <c r="C401" s="16"/>
    </row>
    <row r="402" spans="1:3">
      <c r="A402"/>
      <c r="B402"/>
      <c r="C402" s="16"/>
    </row>
    <row r="403" spans="1:3">
      <c r="A403"/>
      <c r="B403"/>
      <c r="C403" s="16"/>
    </row>
    <row r="404" spans="1:3">
      <c r="A404"/>
      <c r="B404"/>
      <c r="C404" s="16"/>
    </row>
    <row r="405" spans="1:3">
      <c r="A405"/>
      <c r="B405"/>
      <c r="C405" s="16"/>
    </row>
    <row r="406" spans="1:3">
      <c r="A406"/>
      <c r="B406"/>
      <c r="C406" s="16"/>
    </row>
    <row r="407" spans="1:3">
      <c r="A407"/>
      <c r="B407"/>
      <c r="C407" s="16"/>
    </row>
    <row r="408" spans="1:3">
      <c r="A408"/>
      <c r="B408"/>
      <c r="C408" s="16"/>
    </row>
    <row r="409" spans="1:3">
      <c r="A409"/>
      <c r="B409"/>
      <c r="C409" s="16"/>
    </row>
    <row r="410" spans="1:3">
      <c r="A410"/>
      <c r="B410"/>
      <c r="C410" s="16"/>
    </row>
    <row r="411" spans="1:3">
      <c r="A411"/>
      <c r="B411"/>
      <c r="C411" s="16"/>
    </row>
    <row r="412" spans="1:3">
      <c r="A412"/>
      <c r="B412"/>
      <c r="C412" s="16"/>
    </row>
    <row r="413" spans="1:3">
      <c r="A413"/>
      <c r="B413"/>
      <c r="C413" s="16"/>
    </row>
    <row r="414" spans="1:3">
      <c r="A414"/>
      <c r="B414"/>
      <c r="C414" s="16"/>
    </row>
    <row r="415" spans="1:3">
      <c r="A415"/>
      <c r="B415"/>
      <c r="C415" s="16"/>
    </row>
    <row r="416" spans="1:3">
      <c r="A416"/>
      <c r="B416"/>
      <c r="C416" s="16"/>
    </row>
    <row r="417" spans="1:3">
      <c r="A417"/>
      <c r="B417"/>
      <c r="C417" s="16"/>
    </row>
    <row r="418" spans="1:3">
      <c r="A418"/>
      <c r="B418"/>
      <c r="C418" s="16"/>
    </row>
    <row r="419" spans="1:3">
      <c r="A419"/>
      <c r="B419"/>
      <c r="C419" s="16"/>
    </row>
    <row r="420" spans="1:3">
      <c r="A420"/>
      <c r="B420"/>
      <c r="C420" s="16"/>
    </row>
    <row r="421" spans="1:3">
      <c r="A421"/>
      <c r="B421"/>
      <c r="C421" s="16"/>
    </row>
    <row r="422" spans="1:3">
      <c r="A422"/>
      <c r="B422"/>
      <c r="C422" s="16"/>
    </row>
    <row r="423" spans="1:3">
      <c r="A423"/>
      <c r="B423"/>
      <c r="C423" s="16"/>
    </row>
    <row r="424" spans="1:3">
      <c r="A424"/>
      <c r="B424"/>
      <c r="C424" s="16"/>
    </row>
    <row r="425" spans="1:3">
      <c r="A425"/>
      <c r="B425"/>
      <c r="C425" s="16"/>
    </row>
  </sheetData>
  <mergeCells count="1">
    <mergeCell ref="D39:E40"/>
  </mergeCells>
  <phoneticPr fontId="2" type="noConversion"/>
  <printOptions gridLines="1"/>
  <pageMargins left="0.5" right="0.5" top="0.5" bottom="0.5" header="0.5" footer="0.5"/>
  <pageSetup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P36"/>
  <sheetViews>
    <sheetView workbookViewId="0">
      <selection activeCell="A32" sqref="A32"/>
    </sheetView>
  </sheetViews>
  <sheetFormatPr defaultRowHeight="12.75"/>
  <cols>
    <col min="1" max="1" width="35.28515625" customWidth="1"/>
    <col min="2" max="13" width="10.7109375" customWidth="1"/>
  </cols>
  <sheetData>
    <row r="1" spans="1:16" ht="18">
      <c r="A1" s="77" t="s">
        <v>392</v>
      </c>
    </row>
    <row r="2" spans="1:16" ht="13.5" thickBot="1"/>
    <row r="3" spans="1:16" ht="16.5" thickBot="1">
      <c r="B3" s="664" t="s">
        <v>198</v>
      </c>
      <c r="C3" s="665"/>
      <c r="D3" s="666"/>
      <c r="E3" s="664" t="s">
        <v>199</v>
      </c>
      <c r="F3" s="665"/>
      <c r="G3" s="666"/>
      <c r="H3" s="664" t="s">
        <v>200</v>
      </c>
      <c r="I3" s="665"/>
      <c r="J3" s="666"/>
      <c r="K3" s="664" t="s">
        <v>201</v>
      </c>
      <c r="L3" s="665"/>
      <c r="M3" s="666"/>
    </row>
    <row r="4" spans="1:16" ht="13.5" thickTop="1">
      <c r="B4" s="482" t="s">
        <v>67</v>
      </c>
      <c r="C4" s="470" t="s">
        <v>65</v>
      </c>
      <c r="D4" s="471" t="s">
        <v>68</v>
      </c>
      <c r="E4" s="482" t="s">
        <v>60</v>
      </c>
      <c r="F4" s="469" t="s">
        <v>61</v>
      </c>
      <c r="G4" s="471" t="s">
        <v>69</v>
      </c>
      <c r="H4" s="482" t="s">
        <v>62</v>
      </c>
      <c r="I4" s="469" t="s">
        <v>63</v>
      </c>
      <c r="J4" s="471" t="s">
        <v>91</v>
      </c>
      <c r="K4" s="482" t="s">
        <v>64</v>
      </c>
      <c r="L4" s="469" t="s">
        <v>80</v>
      </c>
      <c r="M4" s="471" t="s">
        <v>66</v>
      </c>
    </row>
    <row r="5" spans="1:16">
      <c r="A5" t="s">
        <v>396</v>
      </c>
      <c r="B5" s="483">
        <v>100000</v>
      </c>
      <c r="C5" s="481"/>
      <c r="D5" s="484"/>
      <c r="E5" s="483"/>
      <c r="F5" s="481"/>
      <c r="G5" s="484"/>
      <c r="H5" s="483"/>
      <c r="I5" s="481"/>
      <c r="J5" s="484"/>
      <c r="K5" s="483"/>
      <c r="L5" s="481"/>
      <c r="M5" s="484"/>
    </row>
    <row r="6" spans="1:16">
      <c r="A6" t="s">
        <v>394</v>
      </c>
      <c r="B6" s="483">
        <v>250000</v>
      </c>
      <c r="C6" s="481">
        <v>250000</v>
      </c>
      <c r="D6" s="484">
        <v>250000</v>
      </c>
      <c r="E6" s="483"/>
      <c r="F6" s="481"/>
      <c r="G6" s="484"/>
      <c r="H6" s="483"/>
      <c r="I6" s="481"/>
      <c r="J6" s="484"/>
      <c r="K6" s="483"/>
      <c r="L6" s="481"/>
      <c r="M6" s="484"/>
    </row>
    <row r="7" spans="1:16">
      <c r="B7" s="483"/>
      <c r="C7" s="481"/>
      <c r="D7" s="484"/>
      <c r="E7" s="483"/>
      <c r="F7" s="481"/>
      <c r="G7" s="484"/>
      <c r="H7" s="483"/>
      <c r="I7" s="481"/>
      <c r="J7" s="484"/>
      <c r="K7" s="483"/>
      <c r="L7" s="481"/>
      <c r="M7" s="484"/>
    </row>
    <row r="8" spans="1:16">
      <c r="A8" s="5" t="s">
        <v>14</v>
      </c>
      <c r="B8" s="218"/>
      <c r="C8" s="35"/>
      <c r="D8" s="92"/>
      <c r="E8" s="218"/>
      <c r="F8" s="35"/>
      <c r="G8" s="92"/>
      <c r="H8" s="218"/>
      <c r="I8" s="35"/>
      <c r="J8" s="92"/>
      <c r="K8" s="218"/>
      <c r="L8" s="35"/>
      <c r="M8" s="92"/>
    </row>
    <row r="9" spans="1:16">
      <c r="A9" s="7" t="s">
        <v>400</v>
      </c>
      <c r="B9" s="531">
        <v>33954</v>
      </c>
      <c r="C9" s="36">
        <v>24847</v>
      </c>
      <c r="D9" s="91">
        <v>37541</v>
      </c>
      <c r="E9" s="36">
        <v>29052</v>
      </c>
      <c r="F9" s="36">
        <v>42290</v>
      </c>
      <c r="G9" s="91">
        <v>32877</v>
      </c>
      <c r="H9" s="554">
        <v>50000</v>
      </c>
      <c r="I9" s="554">
        <v>50000</v>
      </c>
      <c r="J9" s="555">
        <v>50000</v>
      </c>
      <c r="K9" s="554">
        <v>50000</v>
      </c>
      <c r="L9" s="554">
        <v>50000</v>
      </c>
      <c r="M9" s="555">
        <v>50000</v>
      </c>
    </row>
    <row r="10" spans="1:16">
      <c r="A10" s="7" t="s">
        <v>397</v>
      </c>
      <c r="B10" s="532">
        <v>42382.5</v>
      </c>
      <c r="C10" s="37">
        <v>42382.5</v>
      </c>
      <c r="D10" s="104">
        <v>42382.5</v>
      </c>
      <c r="E10" s="37">
        <v>42382.5</v>
      </c>
      <c r="F10" s="37">
        <v>42382.5</v>
      </c>
      <c r="G10" s="104">
        <v>42382.5</v>
      </c>
      <c r="H10" s="37">
        <v>42382.5</v>
      </c>
      <c r="I10" s="37">
        <v>42382.5</v>
      </c>
      <c r="J10" s="104">
        <v>42382.5</v>
      </c>
      <c r="K10" s="37">
        <v>42382.5</v>
      </c>
      <c r="L10" s="37">
        <v>42382.5</v>
      </c>
      <c r="M10" s="104">
        <v>42382.5</v>
      </c>
    </row>
    <row r="11" spans="1:16" ht="13.5" thickBot="1">
      <c r="A11" s="7" t="s">
        <v>395</v>
      </c>
      <c r="B11" s="485">
        <v>45178.141779592537</v>
      </c>
      <c r="C11" s="486">
        <v>45178.141779592537</v>
      </c>
      <c r="D11" s="487">
        <v>45178.141779592537</v>
      </c>
      <c r="E11" s="485">
        <v>45178.141779592537</v>
      </c>
      <c r="F11" s="486">
        <v>45178.141779592537</v>
      </c>
      <c r="G11" s="487">
        <v>45178.141779592537</v>
      </c>
      <c r="H11" s="485">
        <v>45178.141779592537</v>
      </c>
      <c r="I11" s="486">
        <v>45178.141779592537</v>
      </c>
      <c r="J11" s="487">
        <v>45178.141779592537</v>
      </c>
      <c r="K11" s="485">
        <v>45178.141779592537</v>
      </c>
      <c r="L11" s="486">
        <v>45178.141779592537</v>
      </c>
      <c r="M11" s="487">
        <v>45178.141779592537</v>
      </c>
    </row>
    <row r="14" spans="1:16" ht="13.5" thickBot="1">
      <c r="A14" s="5" t="s">
        <v>415</v>
      </c>
      <c r="N14" s="408" t="s">
        <v>73</v>
      </c>
    </row>
    <row r="15" spans="1:16">
      <c r="A15" s="172" t="s">
        <v>414</v>
      </c>
      <c r="B15" s="533">
        <v>134984.17736026316</v>
      </c>
      <c r="C15" s="534">
        <v>135754.21569578946</v>
      </c>
      <c r="D15" s="535">
        <v>142065.05082552633</v>
      </c>
      <c r="E15" s="533">
        <v>136461.46011805555</v>
      </c>
      <c r="F15" s="534">
        <v>144575.6713595833</v>
      </c>
      <c r="G15" s="535">
        <v>142157.61924208334</v>
      </c>
      <c r="H15" s="533">
        <v>114969.42144166668</v>
      </c>
      <c r="I15" s="534">
        <v>127668.82835833334</v>
      </c>
      <c r="J15" s="535">
        <v>141850.81919166667</v>
      </c>
      <c r="K15" s="533">
        <v>156040.5599729167</v>
      </c>
      <c r="L15" s="534">
        <v>169359.03653541664</v>
      </c>
      <c r="M15" s="535">
        <v>184009.36075416664</v>
      </c>
      <c r="N15" s="549">
        <f>SUM(B15:M15)</f>
        <v>1729896.220855468</v>
      </c>
      <c r="O15" s="7"/>
      <c r="P15" s="7"/>
    </row>
    <row r="16" spans="1:16">
      <c r="A16" s="172" t="s">
        <v>418</v>
      </c>
      <c r="B16" s="460">
        <v>127873.97368421052</v>
      </c>
      <c r="C16" s="536">
        <v>127873.97368421052</v>
      </c>
      <c r="D16" s="528">
        <v>114821.30263157896</v>
      </c>
      <c r="E16" s="460">
        <v>109538.4375</v>
      </c>
      <c r="F16" s="536">
        <v>175762.65625</v>
      </c>
      <c r="G16" s="528">
        <v>164307.65625</v>
      </c>
      <c r="H16" s="460">
        <v>153680.28</v>
      </c>
      <c r="I16" s="536">
        <v>153680.28</v>
      </c>
      <c r="J16" s="528">
        <v>177185.94</v>
      </c>
      <c r="K16" s="460">
        <v>228742.03125</v>
      </c>
      <c r="L16" s="536">
        <v>228742.03125</v>
      </c>
      <c r="M16" s="528">
        <v>276781.4375</v>
      </c>
      <c r="N16" s="520">
        <f>SUM(B16:M16)</f>
        <v>2038990</v>
      </c>
      <c r="O16" s="7"/>
      <c r="P16" s="7"/>
    </row>
    <row r="17" spans="1:16">
      <c r="A17" s="281" t="s">
        <v>148</v>
      </c>
      <c r="B17" s="537">
        <v>14500</v>
      </c>
      <c r="C17" s="529">
        <v>21750</v>
      </c>
      <c r="D17" s="530">
        <v>21750</v>
      </c>
      <c r="E17" s="537">
        <v>29000</v>
      </c>
      <c r="F17" s="529">
        <v>38666.666666666664</v>
      </c>
      <c r="G17" s="530">
        <v>38666.666666666664</v>
      </c>
      <c r="H17" s="537">
        <v>38666.666666666664</v>
      </c>
      <c r="I17" s="529">
        <v>43500</v>
      </c>
      <c r="J17" s="530">
        <v>43500</v>
      </c>
      <c r="K17" s="537">
        <v>45916.666666666664</v>
      </c>
      <c r="L17" s="529">
        <v>48333.333333333321</v>
      </c>
      <c r="M17" s="530">
        <v>53166.666666666664</v>
      </c>
      <c r="N17" s="550">
        <f>SUM(B17:M17)</f>
        <v>437416.66666666669</v>
      </c>
      <c r="O17" s="7"/>
      <c r="P17" s="7"/>
    </row>
    <row r="18" spans="1:16">
      <c r="A18" s="7"/>
      <c r="B18" s="538"/>
      <c r="C18" s="333"/>
      <c r="D18" s="528">
        <f>SUM(B15:D17)</f>
        <v>841372.69388157909</v>
      </c>
      <c r="E18" s="538"/>
      <c r="F18" s="333"/>
      <c r="G18" s="528">
        <f>SUM(E15:G17)</f>
        <v>979136.83405305538</v>
      </c>
      <c r="H18" s="538"/>
      <c r="I18" s="333"/>
      <c r="J18" s="528">
        <f>SUM(H15:J17)</f>
        <v>994702.23565833329</v>
      </c>
      <c r="K18" s="538"/>
      <c r="L18" s="333"/>
      <c r="M18" s="528">
        <f>SUM(K15:M17)</f>
        <v>1391091.1239291667</v>
      </c>
      <c r="N18" s="551">
        <f>SUM(N15:N17)</f>
        <v>4206302.8875221349</v>
      </c>
      <c r="O18" s="7" t="s">
        <v>421</v>
      </c>
      <c r="P18" s="7"/>
    </row>
    <row r="19" spans="1:16">
      <c r="A19" s="7"/>
      <c r="B19" s="538"/>
      <c r="C19" s="333"/>
      <c r="D19" s="539"/>
      <c r="E19" s="538"/>
      <c r="F19" s="333"/>
      <c r="G19" s="539"/>
      <c r="H19" s="538"/>
      <c r="I19" s="333"/>
      <c r="J19" s="539"/>
      <c r="K19" s="538"/>
      <c r="L19" s="333"/>
      <c r="M19" s="539"/>
      <c r="N19" s="551"/>
      <c r="O19" s="7"/>
      <c r="P19" s="7"/>
    </row>
    <row r="20" spans="1:16">
      <c r="A20" s="236" t="s">
        <v>416</v>
      </c>
      <c r="B20" s="540">
        <v>1</v>
      </c>
      <c r="C20" s="541">
        <v>0.99</v>
      </c>
      <c r="D20" s="542">
        <v>0.95</v>
      </c>
      <c r="E20" s="548">
        <v>0.95</v>
      </c>
      <c r="F20" s="541">
        <v>0.95</v>
      </c>
      <c r="G20" s="542">
        <v>0.9</v>
      </c>
      <c r="H20" s="548">
        <v>0.9</v>
      </c>
      <c r="I20" s="541">
        <v>0.9</v>
      </c>
      <c r="J20" s="542">
        <v>0.9</v>
      </c>
      <c r="K20" s="548">
        <v>0.9</v>
      </c>
      <c r="L20" s="541">
        <v>0.9</v>
      </c>
      <c r="M20" s="542">
        <v>0.9</v>
      </c>
      <c r="N20" s="552"/>
      <c r="O20" s="7"/>
      <c r="P20" s="7"/>
    </row>
    <row r="21" spans="1:16">
      <c r="A21" s="236" t="s">
        <v>417</v>
      </c>
      <c r="B21" s="460">
        <f>B20*B15</f>
        <v>134984.17736026316</v>
      </c>
      <c r="C21" s="536">
        <f t="shared" ref="C21:M21" si="0">C20*C15</f>
        <v>134396.67353883156</v>
      </c>
      <c r="D21" s="528">
        <f t="shared" si="0"/>
        <v>134961.79828424999</v>
      </c>
      <c r="E21" s="460">
        <f t="shared" si="0"/>
        <v>129638.38711215276</v>
      </c>
      <c r="F21" s="536">
        <f t="shared" si="0"/>
        <v>137346.88779160412</v>
      </c>
      <c r="G21" s="528">
        <f t="shared" si="0"/>
        <v>127941.85731787501</v>
      </c>
      <c r="H21" s="460">
        <f t="shared" si="0"/>
        <v>103472.47929750002</v>
      </c>
      <c r="I21" s="536">
        <f t="shared" si="0"/>
        <v>114901.94552250001</v>
      </c>
      <c r="J21" s="528">
        <f t="shared" si="0"/>
        <v>127665.7372725</v>
      </c>
      <c r="K21" s="460">
        <f t="shared" si="0"/>
        <v>140436.50397562503</v>
      </c>
      <c r="L21" s="536">
        <f t="shared" si="0"/>
        <v>152423.13288187498</v>
      </c>
      <c r="M21" s="528">
        <f t="shared" si="0"/>
        <v>165608.42467874999</v>
      </c>
      <c r="N21" s="551">
        <f>SUM(B21:M21)</f>
        <v>1603778.0050337268</v>
      </c>
      <c r="O21" s="7"/>
      <c r="P21" s="7"/>
    </row>
    <row r="22" spans="1:16">
      <c r="A22" s="7"/>
      <c r="B22" s="538"/>
      <c r="C22" s="333"/>
      <c r="D22" s="539"/>
      <c r="E22" s="538"/>
      <c r="F22" s="333"/>
      <c r="G22" s="539"/>
      <c r="H22" s="538"/>
      <c r="I22" s="333"/>
      <c r="J22" s="539"/>
      <c r="K22" s="538"/>
      <c r="L22" s="333"/>
      <c r="M22" s="539"/>
      <c r="N22" s="552"/>
      <c r="O22" s="7"/>
      <c r="P22" s="7"/>
    </row>
    <row r="23" spans="1:16">
      <c r="A23" s="183" t="s">
        <v>424</v>
      </c>
      <c r="B23" s="540">
        <v>0.75</v>
      </c>
      <c r="C23" s="543">
        <v>0.75</v>
      </c>
      <c r="D23" s="544">
        <v>0.8</v>
      </c>
      <c r="E23" s="540">
        <v>0.85</v>
      </c>
      <c r="F23" s="543">
        <v>0.95</v>
      </c>
      <c r="G23" s="544">
        <v>1</v>
      </c>
      <c r="H23" s="540">
        <v>1</v>
      </c>
      <c r="I23" s="543">
        <v>1</v>
      </c>
      <c r="J23" s="544">
        <v>1.1000000000000001</v>
      </c>
      <c r="K23" s="540">
        <v>1.2</v>
      </c>
      <c r="L23" s="543">
        <v>1.3</v>
      </c>
      <c r="M23" s="544">
        <v>1.4</v>
      </c>
      <c r="N23" s="552"/>
      <c r="O23" s="7"/>
      <c r="P23" s="7"/>
    </row>
    <row r="24" spans="1:16">
      <c r="A24" s="183" t="s">
        <v>419</v>
      </c>
      <c r="B24" s="460">
        <f>B23*B16</f>
        <v>95905.480263157893</v>
      </c>
      <c r="C24" s="536">
        <f t="shared" ref="C24:M24" si="1">C23*C16</f>
        <v>95905.480263157893</v>
      </c>
      <c r="D24" s="528">
        <f t="shared" si="1"/>
        <v>91857.042105263172</v>
      </c>
      <c r="E24" s="460">
        <f t="shared" si="1"/>
        <v>93107.671875</v>
      </c>
      <c r="F24" s="536">
        <f t="shared" si="1"/>
        <v>166974.5234375</v>
      </c>
      <c r="G24" s="528">
        <f t="shared" si="1"/>
        <v>164307.65625</v>
      </c>
      <c r="H24" s="460">
        <f t="shared" si="1"/>
        <v>153680.28</v>
      </c>
      <c r="I24" s="536">
        <f t="shared" si="1"/>
        <v>153680.28</v>
      </c>
      <c r="J24" s="528">
        <f t="shared" si="1"/>
        <v>194904.53400000001</v>
      </c>
      <c r="K24" s="460">
        <f t="shared" si="1"/>
        <v>274490.4375</v>
      </c>
      <c r="L24" s="536">
        <f t="shared" si="1"/>
        <v>297364.640625</v>
      </c>
      <c r="M24" s="528">
        <f t="shared" si="1"/>
        <v>387494.01249999995</v>
      </c>
      <c r="N24" s="551">
        <f>SUM(B24:M24)</f>
        <v>2169672.0388190793</v>
      </c>
      <c r="O24" s="7"/>
      <c r="P24" s="7"/>
    </row>
    <row r="25" spans="1:16">
      <c r="A25" s="7"/>
      <c r="B25" s="538"/>
      <c r="C25" s="333"/>
      <c r="D25" s="539"/>
      <c r="E25" s="538"/>
      <c r="F25" s="333"/>
      <c r="G25" s="539"/>
      <c r="H25" s="538"/>
      <c r="I25" s="333"/>
      <c r="J25" s="539"/>
      <c r="K25" s="538"/>
      <c r="L25" s="333"/>
      <c r="M25" s="539"/>
      <c r="N25" s="552"/>
      <c r="O25" s="7"/>
      <c r="P25" s="7"/>
    </row>
    <row r="26" spans="1:16" ht="13.5" thickBot="1">
      <c r="A26" s="183" t="s">
        <v>420</v>
      </c>
      <c r="B26" s="545">
        <f>B17</f>
        <v>14500</v>
      </c>
      <c r="C26" s="546">
        <f t="shared" ref="C26:M26" si="2">C17</f>
        <v>21750</v>
      </c>
      <c r="D26" s="547">
        <f t="shared" si="2"/>
        <v>21750</v>
      </c>
      <c r="E26" s="545">
        <f t="shared" si="2"/>
        <v>29000</v>
      </c>
      <c r="F26" s="546">
        <f t="shared" si="2"/>
        <v>38666.666666666664</v>
      </c>
      <c r="G26" s="547">
        <f t="shared" si="2"/>
        <v>38666.666666666664</v>
      </c>
      <c r="H26" s="545">
        <f t="shared" si="2"/>
        <v>38666.666666666664</v>
      </c>
      <c r="I26" s="546">
        <f t="shared" si="2"/>
        <v>43500</v>
      </c>
      <c r="J26" s="547">
        <f t="shared" si="2"/>
        <v>43500</v>
      </c>
      <c r="K26" s="545">
        <f t="shared" si="2"/>
        <v>45916.666666666664</v>
      </c>
      <c r="L26" s="546">
        <f t="shared" si="2"/>
        <v>48333.333333333321</v>
      </c>
      <c r="M26" s="547">
        <f t="shared" si="2"/>
        <v>53166.666666666664</v>
      </c>
      <c r="N26" s="553">
        <f>SUM(B26:M26)</f>
        <v>437416.66666666669</v>
      </c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527">
        <f>SUM(N21:N26)</f>
        <v>4210866.7105194731</v>
      </c>
      <c r="O27" s="7" t="s">
        <v>422</v>
      </c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3.5" thickBot="1"/>
    <row r="30" spans="1:16" ht="15.75">
      <c r="A30" s="224" t="s">
        <v>425</v>
      </c>
      <c r="B30" s="667" t="s">
        <v>198</v>
      </c>
      <c r="C30" s="668"/>
      <c r="D30" s="669"/>
      <c r="E30" s="667" t="s">
        <v>199</v>
      </c>
      <c r="F30" s="668"/>
      <c r="G30" s="669"/>
      <c r="H30" s="667" t="s">
        <v>200</v>
      </c>
      <c r="I30" s="668"/>
      <c r="J30" s="669"/>
      <c r="K30" s="667" t="s">
        <v>201</v>
      </c>
      <c r="L30" s="668"/>
      <c r="M30" s="669"/>
    </row>
    <row r="31" spans="1:16" ht="13.5" thickBot="1">
      <c r="A31" t="s">
        <v>426</v>
      </c>
      <c r="B31" s="562" t="s">
        <v>67</v>
      </c>
      <c r="C31" s="559" t="s">
        <v>65</v>
      </c>
      <c r="D31" s="563" t="s">
        <v>68</v>
      </c>
      <c r="E31" s="562" t="s">
        <v>60</v>
      </c>
      <c r="F31" s="559" t="s">
        <v>61</v>
      </c>
      <c r="G31" s="563" t="s">
        <v>69</v>
      </c>
      <c r="H31" s="562" t="s">
        <v>62</v>
      </c>
      <c r="I31" s="559" t="s">
        <v>63</v>
      </c>
      <c r="J31" s="563" t="s">
        <v>91</v>
      </c>
      <c r="K31" s="562" t="s">
        <v>64</v>
      </c>
      <c r="L31" s="559" t="s">
        <v>80</v>
      </c>
      <c r="M31" s="563" t="s">
        <v>66</v>
      </c>
    </row>
    <row r="32" spans="1:16">
      <c r="A32" s="46" t="s">
        <v>165</v>
      </c>
      <c r="B32" s="564">
        <f>B5</f>
        <v>100000</v>
      </c>
      <c r="C32" s="38">
        <f>B36</f>
        <v>-18079.283559185104</v>
      </c>
      <c r="D32" s="101">
        <f t="shared" ref="D32:M32" si="3">C36</f>
        <v>554851.0185297624</v>
      </c>
      <c r="E32" s="564">
        <f t="shared" si="3"/>
        <v>545503.09520081466</v>
      </c>
      <c r="F32" s="38">
        <f t="shared" si="3"/>
        <v>48997.423355025472</v>
      </c>
      <c r="G32" s="101">
        <f t="shared" si="3"/>
        <v>15248.511676926049</v>
      </c>
      <c r="H32" s="564">
        <f t="shared" si="3"/>
        <v>202084.70499331481</v>
      </c>
      <c r="I32" s="38">
        <f t="shared" si="3"/>
        <v>140092.60075831495</v>
      </c>
      <c r="J32" s="101">
        <f t="shared" si="3"/>
        <v>64461.452657481655</v>
      </c>
      <c r="K32" s="564">
        <f t="shared" si="3"/>
        <v>99526.933157481602</v>
      </c>
      <c r="L32" s="38">
        <f t="shared" si="3"/>
        <v>174902.23482414824</v>
      </c>
      <c r="M32" s="101">
        <f t="shared" si="3"/>
        <v>311227.23221998173</v>
      </c>
    </row>
    <row r="33" spans="1:13" ht="16.5" customHeight="1">
      <c r="A33" s="46" t="s">
        <v>13</v>
      </c>
      <c r="B33" s="564">
        <f>B6</f>
        <v>250000</v>
      </c>
      <c r="C33" s="38">
        <f>C6+B15+B16+B17</f>
        <v>527358.15104447375</v>
      </c>
      <c r="D33" s="101">
        <f t="shared" ref="D33:M33" si="4">D6+C15+C16+C17</f>
        <v>535378.18937999988</v>
      </c>
      <c r="E33" s="564">
        <f t="shared" si="4"/>
        <v>278636.35345710529</v>
      </c>
      <c r="F33" s="38">
        <f t="shared" si="4"/>
        <v>274999.89761805558</v>
      </c>
      <c r="G33" s="101">
        <f t="shared" si="4"/>
        <v>359004.99427624996</v>
      </c>
      <c r="H33" s="564">
        <f t="shared" si="4"/>
        <v>345131.94215875003</v>
      </c>
      <c r="I33" s="38">
        <f t="shared" si="4"/>
        <v>307316.36810833338</v>
      </c>
      <c r="J33" s="101">
        <f t="shared" si="4"/>
        <v>324849.10835833335</v>
      </c>
      <c r="K33" s="564">
        <f t="shared" si="4"/>
        <v>362536.75919166667</v>
      </c>
      <c r="L33" s="38">
        <f t="shared" si="4"/>
        <v>430699.25788958342</v>
      </c>
      <c r="M33" s="101">
        <f t="shared" si="4"/>
        <v>446434.40111874993</v>
      </c>
    </row>
    <row r="34" spans="1:13" ht="17.25" customHeight="1" thickBot="1">
      <c r="A34" s="47" t="s">
        <v>46</v>
      </c>
      <c r="B34" s="565">
        <f>-SUM(B9:B11)-SUM(Headcount!$E$23:$E$39)/12</f>
        <v>-259039.64177959255</v>
      </c>
      <c r="C34" s="45">
        <f>-SUM(C9:C11)-SUM(Headcount!$E$23:$E$39)/12</f>
        <v>-249932.64177959255</v>
      </c>
      <c r="D34" s="102">
        <f>-SUM(D9:D11)-SUM(Headcount!$E$23:$E$39)/12</f>
        <v>-262626.64177959255</v>
      </c>
      <c r="E34" s="565">
        <f>-SUM(E9:E11)-SUM(Headcount!$E$23:$E$39)/12</f>
        <v>-254137.64177959255</v>
      </c>
      <c r="F34" s="45">
        <f>-SUM(F9:F11)-SUM(Headcount!$E$23:$E$39)/12</f>
        <v>-267375.64177959255</v>
      </c>
      <c r="G34" s="102">
        <f>-SUM(G9:G11)-SUM(Headcount!$E$23:$E$39)/12</f>
        <v>-257962.64177959255</v>
      </c>
      <c r="H34" s="565">
        <f>-SUM(H9:H11)-SUM(Headcount!$E$23:$E$39)/12</f>
        <v>-275085.64177959255</v>
      </c>
      <c r="I34" s="45">
        <f>-SUM(I9:I11)-SUM(Headcount!$E$23:$E$39)/12</f>
        <v>-275085.64177959255</v>
      </c>
      <c r="J34" s="102">
        <f>-SUM(J9:J11)-SUM(Headcount!$E$23:$E$39)/12</f>
        <v>-275085.64177959255</v>
      </c>
      <c r="K34" s="565">
        <f>-SUM(K9:K11)-SUM(Headcount!$E$23:$E$39)/12</f>
        <v>-275085.64177959255</v>
      </c>
      <c r="L34" s="45">
        <f>-SUM(L9:L11)-SUM(Headcount!$E$23:$E$39)/12</f>
        <v>-275085.64177959255</v>
      </c>
      <c r="M34" s="102">
        <f>-SUM(M9:M11)-SUM(Headcount!$E$23:$E$39)/12</f>
        <v>-275085.64177959255</v>
      </c>
    </row>
    <row r="35" spans="1:13" ht="14.25" thickTop="1" thickBot="1">
      <c r="A35" s="47" t="s">
        <v>52</v>
      </c>
      <c r="B35" s="566">
        <f>B33+B34</f>
        <v>-9039.6417795925518</v>
      </c>
      <c r="C35" s="560">
        <f t="shared" ref="C35:M35" si="5">C33+C34</f>
        <v>277425.5092648812</v>
      </c>
      <c r="D35" s="567">
        <f t="shared" si="5"/>
        <v>272751.54760040733</v>
      </c>
      <c r="E35" s="566">
        <f t="shared" si="5"/>
        <v>24498.711677512736</v>
      </c>
      <c r="F35" s="560">
        <f t="shared" si="5"/>
        <v>7624.2558384630247</v>
      </c>
      <c r="G35" s="567">
        <f t="shared" si="5"/>
        <v>101042.3524966574</v>
      </c>
      <c r="H35" s="566">
        <f t="shared" si="5"/>
        <v>70046.300379157474</v>
      </c>
      <c r="I35" s="560">
        <f t="shared" si="5"/>
        <v>32230.726328740828</v>
      </c>
      <c r="J35" s="567">
        <f t="shared" si="5"/>
        <v>49763.466578740801</v>
      </c>
      <c r="K35" s="566">
        <f t="shared" si="5"/>
        <v>87451.11741207412</v>
      </c>
      <c r="L35" s="560">
        <f t="shared" si="5"/>
        <v>155613.61610999086</v>
      </c>
      <c r="M35" s="567">
        <f t="shared" si="5"/>
        <v>171348.75933915738</v>
      </c>
    </row>
    <row r="36" spans="1:13" ht="14.25" thickTop="1" thickBot="1">
      <c r="A36" s="561" t="s">
        <v>21</v>
      </c>
      <c r="B36" s="568">
        <f>SUM(B33:B35)</f>
        <v>-18079.283559185104</v>
      </c>
      <c r="C36" s="569">
        <f t="shared" ref="C36:M36" si="6">SUM(C33:C35)</f>
        <v>554851.0185297624</v>
      </c>
      <c r="D36" s="570">
        <f t="shared" si="6"/>
        <v>545503.09520081466</v>
      </c>
      <c r="E36" s="568">
        <f t="shared" si="6"/>
        <v>48997.423355025472</v>
      </c>
      <c r="F36" s="569">
        <f t="shared" si="6"/>
        <v>15248.511676926049</v>
      </c>
      <c r="G36" s="570">
        <f t="shared" si="6"/>
        <v>202084.70499331481</v>
      </c>
      <c r="H36" s="568">
        <f t="shared" si="6"/>
        <v>140092.60075831495</v>
      </c>
      <c r="I36" s="569">
        <f t="shared" si="6"/>
        <v>64461.452657481655</v>
      </c>
      <c r="J36" s="570">
        <f t="shared" si="6"/>
        <v>99526.933157481602</v>
      </c>
      <c r="K36" s="568">
        <f t="shared" si="6"/>
        <v>174902.23482414824</v>
      </c>
      <c r="L36" s="569">
        <f t="shared" si="6"/>
        <v>311227.23221998173</v>
      </c>
      <c r="M36" s="570">
        <f t="shared" si="6"/>
        <v>342697.51867831475</v>
      </c>
    </row>
  </sheetData>
  <mergeCells count="8">
    <mergeCell ref="B3:D3"/>
    <mergeCell ref="E3:G3"/>
    <mergeCell ref="H3:J3"/>
    <mergeCell ref="K3:M3"/>
    <mergeCell ref="B30:D30"/>
    <mergeCell ref="E30:G30"/>
    <mergeCell ref="H30:J30"/>
    <mergeCell ref="K30:M30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6"/>
  <sheetViews>
    <sheetView workbookViewId="0">
      <selection activeCell="B35" sqref="B35"/>
    </sheetView>
  </sheetViews>
  <sheetFormatPr defaultRowHeight="12.75"/>
  <cols>
    <col min="1" max="1" width="29.85546875" customWidth="1"/>
    <col min="2" max="2" width="7.7109375" style="16" customWidth="1"/>
    <col min="3" max="3" width="13" customWidth="1"/>
    <col min="4" max="4" width="10.5703125" customWidth="1"/>
    <col min="5" max="5" width="9.28515625" customWidth="1"/>
    <col min="6" max="6" width="10" customWidth="1"/>
    <col min="7" max="7" width="10.140625" customWidth="1"/>
    <col min="8" max="16" width="10.140625" bestFit="1" customWidth="1"/>
    <col min="17" max="17" width="11.140625" customWidth="1"/>
    <col min="18" max="18" width="10.7109375" customWidth="1"/>
    <col min="20" max="20" width="10.140625" customWidth="1"/>
    <col min="21" max="21" width="11.42578125" customWidth="1"/>
  </cols>
  <sheetData>
    <row r="1" spans="1:21" ht="36.75" customHeight="1">
      <c r="A1" s="77" t="s">
        <v>75</v>
      </c>
      <c r="B1" s="421"/>
      <c r="C1" s="192"/>
      <c r="D1" s="35"/>
      <c r="E1" s="670" t="s">
        <v>315</v>
      </c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2"/>
    </row>
    <row r="2" spans="1:21" ht="39" thickBot="1">
      <c r="A2" s="76" t="s">
        <v>72</v>
      </c>
      <c r="B2" s="222" t="s">
        <v>324</v>
      </c>
      <c r="C2" s="193" t="s">
        <v>133</v>
      </c>
      <c r="D2" s="191" t="s">
        <v>138</v>
      </c>
      <c r="E2" s="155" t="str">
        <f>Headcount!H5</f>
        <v>JAN</v>
      </c>
      <c r="F2" s="87" t="str">
        <f>Headcount!I5</f>
        <v>FEB</v>
      </c>
      <c r="G2" s="88" t="str">
        <f>Headcount!J5</f>
        <v>MAR</v>
      </c>
      <c r="H2" s="87" t="str">
        <f>Headcount!K5</f>
        <v>APR</v>
      </c>
      <c r="I2" s="87" t="str">
        <f>Headcount!L5</f>
        <v>MAY</v>
      </c>
      <c r="J2" s="88" t="str">
        <f>Headcount!M5</f>
        <v>JUN</v>
      </c>
      <c r="K2" s="87" t="str">
        <f>Headcount!N5</f>
        <v>JUL</v>
      </c>
      <c r="L2" s="87" t="str">
        <f>Headcount!O5</f>
        <v>AUG</v>
      </c>
      <c r="M2" s="88" t="str">
        <f>Headcount!P5</f>
        <v>SEP</v>
      </c>
      <c r="N2" s="87" t="str">
        <f>Headcount!Q5</f>
        <v>OCT</v>
      </c>
      <c r="O2" s="87" t="str">
        <f>Headcount!R5</f>
        <v>NOV</v>
      </c>
      <c r="P2" s="88" t="str">
        <f>Headcount!S5</f>
        <v>DEC</v>
      </c>
      <c r="Q2" s="185" t="s">
        <v>132</v>
      </c>
      <c r="R2" s="211" t="s">
        <v>208</v>
      </c>
    </row>
    <row r="3" spans="1:21">
      <c r="A3" t="s">
        <v>97</v>
      </c>
      <c r="B3" s="423" t="s">
        <v>325</v>
      </c>
      <c r="C3" s="194">
        <v>75000</v>
      </c>
      <c r="D3" s="197" t="s">
        <v>67</v>
      </c>
      <c r="E3" s="156"/>
      <c r="F3" s="78">
        <v>50000</v>
      </c>
      <c r="G3" s="89">
        <v>25000</v>
      </c>
      <c r="H3" s="78"/>
      <c r="I3" s="78"/>
      <c r="J3" s="89"/>
      <c r="K3" s="78"/>
      <c r="L3" s="78"/>
      <c r="M3" s="89"/>
      <c r="N3" s="78"/>
      <c r="O3" s="78"/>
      <c r="P3" s="89"/>
      <c r="Q3" s="179">
        <f>SUM(E3:P3)</f>
        <v>75000</v>
      </c>
      <c r="R3">
        <v>0</v>
      </c>
    </row>
    <row r="4" spans="1:21">
      <c r="A4" s="158" t="s">
        <v>271</v>
      </c>
      <c r="B4" s="423" t="s">
        <v>187</v>
      </c>
      <c r="C4" s="195">
        <v>30000</v>
      </c>
      <c r="D4" s="198" t="s">
        <v>67</v>
      </c>
      <c r="E4" s="159"/>
      <c r="F4" s="160"/>
      <c r="G4" s="161">
        <v>20000</v>
      </c>
      <c r="H4" s="160">
        <v>10000</v>
      </c>
      <c r="I4" s="160"/>
      <c r="J4" s="161"/>
      <c r="K4" s="160"/>
      <c r="L4" s="160"/>
      <c r="M4" s="161"/>
      <c r="N4" s="160"/>
      <c r="O4" s="160"/>
      <c r="P4" s="161"/>
      <c r="Q4" s="179">
        <f t="shared" ref="Q4:Q18" si="0">SUM(E4:P4)</f>
        <v>30000</v>
      </c>
      <c r="R4">
        <v>0</v>
      </c>
    </row>
    <row r="5" spans="1:21">
      <c r="A5" s="158" t="s">
        <v>273</v>
      </c>
      <c r="B5" s="423" t="s">
        <v>323</v>
      </c>
      <c r="C5" s="195">
        <v>50000</v>
      </c>
      <c r="D5" s="198" t="s">
        <v>67</v>
      </c>
      <c r="E5" s="159"/>
      <c r="F5" s="160"/>
      <c r="G5" s="161">
        <v>20000</v>
      </c>
      <c r="H5" s="160">
        <v>30000</v>
      </c>
      <c r="I5" s="160"/>
      <c r="J5" s="161"/>
      <c r="K5" s="160"/>
      <c r="L5" s="160"/>
      <c r="M5" s="161"/>
      <c r="N5" s="160"/>
      <c r="O5" s="160"/>
      <c r="P5" s="161"/>
      <c r="Q5" s="179">
        <f t="shared" si="0"/>
        <v>50000</v>
      </c>
      <c r="R5">
        <v>0</v>
      </c>
    </row>
    <row r="6" spans="1:21">
      <c r="A6" s="158" t="s">
        <v>274</v>
      </c>
      <c r="B6" s="423"/>
      <c r="C6" s="195">
        <v>50000</v>
      </c>
      <c r="D6" s="198" t="s">
        <v>65</v>
      </c>
      <c r="E6" s="159"/>
      <c r="F6" s="160"/>
      <c r="G6" s="161"/>
      <c r="H6" s="160">
        <v>30000</v>
      </c>
      <c r="I6" s="160">
        <v>20000</v>
      </c>
      <c r="J6" s="161"/>
      <c r="K6" s="160"/>
      <c r="L6" s="160"/>
      <c r="M6" s="161"/>
      <c r="N6" s="160"/>
      <c r="O6" s="160"/>
      <c r="P6" s="161"/>
      <c r="Q6" s="179">
        <f>SUM(E6:P6)</f>
        <v>50000</v>
      </c>
      <c r="R6">
        <v>0</v>
      </c>
    </row>
    <row r="7" spans="1:21">
      <c r="A7" s="158" t="s">
        <v>303</v>
      </c>
      <c r="B7" s="423"/>
      <c r="C7" s="195">
        <v>50000</v>
      </c>
      <c r="D7" s="198" t="s">
        <v>60</v>
      </c>
      <c r="E7" s="159"/>
      <c r="F7" s="160"/>
      <c r="G7" s="161"/>
      <c r="H7" s="160"/>
      <c r="I7" s="160">
        <v>20000</v>
      </c>
      <c r="J7" s="161">
        <v>30000</v>
      </c>
      <c r="K7" s="160"/>
      <c r="L7" s="160"/>
      <c r="M7" s="161"/>
      <c r="N7" s="160"/>
      <c r="O7" s="160"/>
      <c r="P7" s="161"/>
      <c r="Q7" s="179">
        <f>SUM(E7:P7)</f>
        <v>50000</v>
      </c>
      <c r="R7" s="387">
        <v>0</v>
      </c>
    </row>
    <row r="8" spans="1:21">
      <c r="A8" s="158" t="s">
        <v>278</v>
      </c>
      <c r="B8" s="423"/>
      <c r="C8" s="195">
        <v>75000</v>
      </c>
      <c r="D8" s="198" t="s">
        <v>60</v>
      </c>
      <c r="E8" s="159"/>
      <c r="F8" s="160"/>
      <c r="G8" s="161"/>
      <c r="H8" s="160"/>
      <c r="I8" s="160">
        <v>40000</v>
      </c>
      <c r="J8" s="161">
        <v>35000</v>
      </c>
      <c r="K8" s="160"/>
      <c r="L8" s="160"/>
      <c r="M8" s="161"/>
      <c r="N8" s="160"/>
      <c r="O8" s="160"/>
      <c r="P8" s="161"/>
      <c r="Q8" s="179">
        <f t="shared" si="0"/>
        <v>75000</v>
      </c>
      <c r="R8" s="387">
        <v>0</v>
      </c>
    </row>
    <row r="9" spans="1:21">
      <c r="A9" s="164" t="s">
        <v>279</v>
      </c>
      <c r="B9" s="424"/>
      <c r="C9" s="195">
        <v>50000</v>
      </c>
      <c r="D9" s="198" t="s">
        <v>61</v>
      </c>
      <c r="E9" s="159"/>
      <c r="F9" s="160"/>
      <c r="G9" s="161"/>
      <c r="H9" s="160"/>
      <c r="I9" s="160"/>
      <c r="J9" s="161">
        <v>10000</v>
      </c>
      <c r="K9" s="160">
        <v>40000</v>
      </c>
      <c r="L9" s="160">
        <v>30000</v>
      </c>
      <c r="M9" s="161">
        <v>20000</v>
      </c>
      <c r="N9" s="160"/>
      <c r="O9" s="160"/>
      <c r="P9" s="161"/>
      <c r="Q9" s="179">
        <f>SUM(E9:P9)</f>
        <v>100000</v>
      </c>
      <c r="R9">
        <v>0</v>
      </c>
    </row>
    <row r="10" spans="1:21" s="158" customFormat="1">
      <c r="A10" s="175" t="s">
        <v>280</v>
      </c>
      <c r="B10" s="425"/>
      <c r="C10" s="195">
        <v>50000</v>
      </c>
      <c r="D10" s="198" t="s">
        <v>69</v>
      </c>
      <c r="E10" s="159"/>
      <c r="F10" s="160"/>
      <c r="G10" s="161"/>
      <c r="H10" s="160"/>
      <c r="I10" s="160"/>
      <c r="J10" s="161"/>
      <c r="K10" s="160">
        <v>10000</v>
      </c>
      <c r="L10" s="160">
        <v>30000</v>
      </c>
      <c r="M10" s="161">
        <v>10000</v>
      </c>
      <c r="N10" s="160"/>
      <c r="O10" s="160"/>
      <c r="P10" s="161"/>
      <c r="Q10" s="209">
        <f>SUM(E10:P10)</f>
        <v>50000</v>
      </c>
      <c r="R10" s="158">
        <v>0</v>
      </c>
    </row>
    <row r="11" spans="1:21" s="158" customFormat="1">
      <c r="A11" s="175" t="s">
        <v>284</v>
      </c>
      <c r="B11" s="425"/>
      <c r="C11" s="195">
        <v>50000</v>
      </c>
      <c r="D11" s="198" t="s">
        <v>62</v>
      </c>
      <c r="E11" s="159"/>
      <c r="F11" s="160"/>
      <c r="G11" s="161"/>
      <c r="H11" s="160"/>
      <c r="I11" s="160"/>
      <c r="J11" s="161"/>
      <c r="K11" s="160"/>
      <c r="L11" s="160">
        <v>10000</v>
      </c>
      <c r="M11" s="161">
        <v>20000</v>
      </c>
      <c r="N11" s="160"/>
      <c r="O11" s="160">
        <v>20000</v>
      </c>
      <c r="P11" s="161"/>
      <c r="Q11" s="209">
        <f t="shared" si="0"/>
        <v>50000</v>
      </c>
      <c r="R11" s="386">
        <v>0</v>
      </c>
    </row>
    <row r="12" spans="1:21" ht="13.5" thickBot="1">
      <c r="A12" s="175" t="s">
        <v>285</v>
      </c>
      <c r="B12" s="425"/>
      <c r="C12" s="195">
        <v>50000</v>
      </c>
      <c r="D12" s="198" t="s">
        <v>91</v>
      </c>
      <c r="E12" s="159"/>
      <c r="F12" s="160"/>
      <c r="G12" s="161"/>
      <c r="H12" s="160"/>
      <c r="I12" s="160"/>
      <c r="J12" s="161"/>
      <c r="K12" s="160"/>
      <c r="L12" s="160"/>
      <c r="M12" s="161"/>
      <c r="N12" s="160">
        <v>10000</v>
      </c>
      <c r="O12" s="160">
        <v>30000</v>
      </c>
      <c r="P12" s="161">
        <v>10000</v>
      </c>
      <c r="Q12" s="179">
        <f>SUM(E12:P12)</f>
        <v>50000</v>
      </c>
      <c r="R12" s="368">
        <v>20000</v>
      </c>
      <c r="S12" s="671" t="s">
        <v>298</v>
      </c>
      <c r="T12" s="672"/>
      <c r="U12" s="673"/>
    </row>
    <row r="13" spans="1:21">
      <c r="A13" s="175" t="s">
        <v>286</v>
      </c>
      <c r="B13" s="425"/>
      <c r="C13" s="195">
        <v>50000</v>
      </c>
      <c r="D13" s="198" t="s">
        <v>91</v>
      </c>
      <c r="E13" s="159"/>
      <c r="F13" s="160"/>
      <c r="G13" s="161"/>
      <c r="H13" s="160"/>
      <c r="I13" s="160"/>
      <c r="J13" s="161"/>
      <c r="K13" s="160"/>
      <c r="L13" s="160"/>
      <c r="M13" s="161"/>
      <c r="N13" s="160">
        <v>10000</v>
      </c>
      <c r="O13" s="160">
        <v>40000</v>
      </c>
      <c r="P13" s="161">
        <v>30000</v>
      </c>
      <c r="Q13" s="179">
        <f>SUM(E13:P13)</f>
        <v>80000</v>
      </c>
      <c r="R13" s="368">
        <v>20000</v>
      </c>
      <c r="S13" s="380" t="s">
        <v>299</v>
      </c>
      <c r="T13" s="381">
        <f>SUM(E3:P18)</f>
        <v>1585000</v>
      </c>
      <c r="U13" s="382" t="s">
        <v>301</v>
      </c>
    </row>
    <row r="14" spans="1:21">
      <c r="A14" s="175" t="s">
        <v>297</v>
      </c>
      <c r="B14" s="425"/>
      <c r="C14" s="195">
        <v>50000</v>
      </c>
      <c r="D14" s="198" t="s">
        <v>64</v>
      </c>
      <c r="E14" s="159"/>
      <c r="F14" s="160"/>
      <c r="G14" s="161"/>
      <c r="H14" s="160"/>
      <c r="I14" s="160"/>
      <c r="J14" s="161"/>
      <c r="K14" s="160"/>
      <c r="L14" s="160"/>
      <c r="M14" s="161"/>
      <c r="N14" s="160"/>
      <c r="O14" s="160">
        <v>10000</v>
      </c>
      <c r="P14" s="161">
        <v>40000</v>
      </c>
      <c r="Q14" s="179">
        <f>SUM(E14:P14)</f>
        <v>50000</v>
      </c>
      <c r="R14" s="368">
        <v>50000</v>
      </c>
      <c r="S14" s="380" t="s">
        <v>191</v>
      </c>
      <c r="T14" s="429">
        <v>5</v>
      </c>
      <c r="U14" s="382"/>
    </row>
    <row r="15" spans="1:21">
      <c r="A15" s="175" t="s">
        <v>290</v>
      </c>
      <c r="B15" s="425"/>
      <c r="C15" s="195">
        <v>50000</v>
      </c>
      <c r="D15" s="198" t="s">
        <v>64</v>
      </c>
      <c r="E15" s="159"/>
      <c r="F15" s="160"/>
      <c r="G15" s="161"/>
      <c r="H15" s="160"/>
      <c r="I15" s="160"/>
      <c r="J15" s="161"/>
      <c r="K15" s="160"/>
      <c r="L15" s="160"/>
      <c r="M15" s="161"/>
      <c r="N15" s="160"/>
      <c r="O15" s="160">
        <v>10000</v>
      </c>
      <c r="P15" s="161">
        <v>40000</v>
      </c>
      <c r="Q15" s="179">
        <f t="shared" si="0"/>
        <v>50000</v>
      </c>
      <c r="R15" s="368">
        <v>50000</v>
      </c>
      <c r="S15" s="383" t="s">
        <v>300</v>
      </c>
      <c r="T15" s="384">
        <f>(T13/1500)/(T14*5*52)</f>
        <v>0.81282051282051293</v>
      </c>
      <c r="U15" s="385" t="s">
        <v>304</v>
      </c>
    </row>
    <row r="16" spans="1:21">
      <c r="A16" s="175" t="s">
        <v>295</v>
      </c>
      <c r="B16" s="425"/>
      <c r="C16" s="195">
        <v>75000</v>
      </c>
      <c r="D16" s="198" t="s">
        <v>66</v>
      </c>
      <c r="E16" s="159"/>
      <c r="F16" s="160"/>
      <c r="G16" s="161"/>
      <c r="H16" s="160"/>
      <c r="I16" s="160"/>
      <c r="J16" s="161"/>
      <c r="K16" s="160"/>
      <c r="L16" s="160"/>
      <c r="M16" s="161"/>
      <c r="N16" s="160"/>
      <c r="O16" s="160"/>
      <c r="P16" s="161"/>
      <c r="Q16" s="179">
        <f t="shared" si="0"/>
        <v>0</v>
      </c>
      <c r="R16" s="368">
        <f>C16</f>
        <v>75000</v>
      </c>
    </row>
    <row r="17" spans="1:18">
      <c r="A17" s="514" t="s">
        <v>411</v>
      </c>
      <c r="B17" s="515"/>
      <c r="C17" s="516">
        <f>Q71</f>
        <v>0</v>
      </c>
      <c r="D17" s="517"/>
      <c r="E17" s="518">
        <v>0</v>
      </c>
      <c r="F17" s="519">
        <f>IF('CASH FLOW'!$R$2=1,E71,0)</f>
        <v>0</v>
      </c>
      <c r="G17" s="503">
        <f>IF('CASH FLOW'!$R$2=1,F71,0)</f>
        <v>0</v>
      </c>
      <c r="H17" s="519">
        <f>IF('CASH FLOW'!$R$2=1,G71,0)</f>
        <v>0</v>
      </c>
      <c r="I17" s="519">
        <f>IF('CASH FLOW'!$R$2=1,H71,0)</f>
        <v>0</v>
      </c>
      <c r="J17" s="503">
        <f>IF('CASH FLOW'!$R$2=1,I71,0)</f>
        <v>0</v>
      </c>
      <c r="K17" s="519">
        <f>IF('CASH FLOW'!$R$2=1,J71,0)</f>
        <v>0</v>
      </c>
      <c r="L17" s="519">
        <f>IF('CASH FLOW'!$R$2=1,K71,0)</f>
        <v>0</v>
      </c>
      <c r="M17" s="503">
        <f>IF('CASH FLOW'!$R$2=1,L71,0)</f>
        <v>0</v>
      </c>
      <c r="N17" s="519">
        <f>IF('CASH FLOW'!$R$2=1,M71,0)</f>
        <v>0</v>
      </c>
      <c r="O17" s="519">
        <f>IF('CASH FLOW'!$R$2=1,N71,0)</f>
        <v>0</v>
      </c>
      <c r="P17" s="503">
        <f>IF('CASH FLOW'!$R$2=1,O71,0)</f>
        <v>0</v>
      </c>
      <c r="Q17" s="179">
        <f t="shared" si="0"/>
        <v>0</v>
      </c>
      <c r="R17" s="368"/>
    </row>
    <row r="18" spans="1:18" ht="13.5" thickBot="1">
      <c r="A18" s="58" t="s">
        <v>412</v>
      </c>
      <c r="B18" s="426"/>
      <c r="C18" s="196">
        <v>75000</v>
      </c>
      <c r="D18" s="199" t="s">
        <v>211</v>
      </c>
      <c r="E18" s="184">
        <v>0</v>
      </c>
      <c r="F18" s="62">
        <f t="shared" ref="F18:P18" si="1">$C$18</f>
        <v>75000</v>
      </c>
      <c r="G18" s="117">
        <f t="shared" si="1"/>
        <v>75000</v>
      </c>
      <c r="H18" s="62">
        <f t="shared" si="1"/>
        <v>75000</v>
      </c>
      <c r="I18" s="62">
        <f t="shared" si="1"/>
        <v>75000</v>
      </c>
      <c r="J18" s="117">
        <f t="shared" si="1"/>
        <v>75000</v>
      </c>
      <c r="K18" s="62">
        <f t="shared" si="1"/>
        <v>75000</v>
      </c>
      <c r="L18" s="62">
        <f t="shared" si="1"/>
        <v>75000</v>
      </c>
      <c r="M18" s="117">
        <f t="shared" si="1"/>
        <v>75000</v>
      </c>
      <c r="N18" s="62">
        <f t="shared" si="1"/>
        <v>75000</v>
      </c>
      <c r="O18" s="62">
        <f t="shared" si="1"/>
        <v>75000</v>
      </c>
      <c r="P18" s="117">
        <f t="shared" si="1"/>
        <v>75000</v>
      </c>
      <c r="Q18" s="186">
        <f t="shared" si="0"/>
        <v>825000</v>
      </c>
      <c r="R18" s="388">
        <f>P18</f>
        <v>75000</v>
      </c>
    </row>
    <row r="19" spans="1:18">
      <c r="A19" s="5" t="s">
        <v>73</v>
      </c>
      <c r="B19" s="6"/>
      <c r="C19" s="132">
        <f>SUM(C3:C16)+12*C18</f>
        <v>1655000</v>
      </c>
      <c r="D19" s="200"/>
      <c r="E19" s="157">
        <f>SUM(E3:E18)</f>
        <v>0</v>
      </c>
      <c r="F19" s="99">
        <f t="shared" ref="F19:Q19" si="2">SUM(F3:F18)</f>
        <v>125000</v>
      </c>
      <c r="G19" s="100">
        <f t="shared" si="2"/>
        <v>140000</v>
      </c>
      <c r="H19" s="99">
        <f t="shared" si="2"/>
        <v>145000</v>
      </c>
      <c r="I19" s="99">
        <f t="shared" si="2"/>
        <v>155000</v>
      </c>
      <c r="J19" s="100">
        <f t="shared" si="2"/>
        <v>150000</v>
      </c>
      <c r="K19" s="99">
        <f t="shared" si="2"/>
        <v>125000</v>
      </c>
      <c r="L19" s="99">
        <f t="shared" si="2"/>
        <v>145000</v>
      </c>
      <c r="M19" s="100">
        <f t="shared" si="2"/>
        <v>125000</v>
      </c>
      <c r="N19" s="99">
        <f t="shared" si="2"/>
        <v>95000</v>
      </c>
      <c r="O19" s="99">
        <f t="shared" si="2"/>
        <v>185000</v>
      </c>
      <c r="P19" s="100">
        <f t="shared" si="2"/>
        <v>195000</v>
      </c>
      <c r="Q19" s="179">
        <f t="shared" si="2"/>
        <v>1585000</v>
      </c>
      <c r="R19" s="389">
        <f>SUM(R3:R18)</f>
        <v>290000</v>
      </c>
    </row>
    <row r="20" spans="1:18">
      <c r="A20" s="183"/>
      <c r="B20" s="6"/>
      <c r="C20" s="132"/>
      <c r="D20" s="200"/>
      <c r="E20" s="157"/>
      <c r="F20" s="99"/>
      <c r="G20" s="100"/>
      <c r="H20" s="99"/>
      <c r="I20" s="99"/>
      <c r="J20" s="100"/>
      <c r="K20" s="99"/>
      <c r="L20" s="99"/>
      <c r="M20" s="100"/>
      <c r="N20" s="99"/>
      <c r="O20" s="99"/>
      <c r="P20" s="100"/>
      <c r="Q20" s="179"/>
    </row>
    <row r="21" spans="1:18">
      <c r="A21" s="175"/>
      <c r="B21" s="422"/>
      <c r="C21" s="194"/>
      <c r="D21" s="197"/>
      <c r="E21" s="156"/>
      <c r="F21" s="78"/>
      <c r="G21" s="89"/>
      <c r="H21" s="78"/>
      <c r="I21" s="78"/>
      <c r="J21" s="89"/>
      <c r="K21" s="78"/>
      <c r="L21" s="78"/>
      <c r="M21" s="89"/>
      <c r="N21" s="78"/>
      <c r="O21" s="78"/>
      <c r="P21" s="89"/>
      <c r="Q21" s="177"/>
    </row>
    <row r="22" spans="1:18" ht="38.25" customHeight="1">
      <c r="A22" s="77" t="s">
        <v>134</v>
      </c>
      <c r="B22" s="421"/>
      <c r="C22" s="192"/>
      <c r="D22" s="201"/>
      <c r="E22" s="670" t="s">
        <v>441</v>
      </c>
      <c r="F22" s="661"/>
      <c r="G22" s="661"/>
      <c r="H22" s="661"/>
      <c r="I22" s="661"/>
      <c r="J22" s="661"/>
      <c r="K22" s="661"/>
      <c r="L22" s="661"/>
      <c r="M22" s="661"/>
      <c r="N22" s="661"/>
      <c r="O22" s="661"/>
      <c r="P22" s="662"/>
      <c r="Q22" s="177"/>
    </row>
    <row r="23" spans="1:18" ht="26.25" thickBot="1">
      <c r="A23" s="76" t="s">
        <v>72</v>
      </c>
      <c r="B23" s="222"/>
      <c r="C23" s="193" t="s">
        <v>133</v>
      </c>
      <c r="D23" s="202"/>
      <c r="E23" s="155" t="str">
        <f>$E$2</f>
        <v>JAN</v>
      </c>
      <c r="F23" s="87" t="str">
        <f t="shared" ref="F23:M23" si="3">F2</f>
        <v>FEB</v>
      </c>
      <c r="G23" s="88" t="str">
        <f t="shared" si="3"/>
        <v>MAR</v>
      </c>
      <c r="H23" s="87" t="str">
        <f t="shared" si="3"/>
        <v>APR</v>
      </c>
      <c r="I23" s="87" t="str">
        <f t="shared" si="3"/>
        <v>MAY</v>
      </c>
      <c r="J23" s="88" t="str">
        <f t="shared" si="3"/>
        <v>JUN</v>
      </c>
      <c r="K23" s="87" t="str">
        <f t="shared" si="3"/>
        <v>JUL</v>
      </c>
      <c r="L23" s="87" t="str">
        <f t="shared" si="3"/>
        <v>AUG</v>
      </c>
      <c r="M23" s="88" t="str">
        <f t="shared" si="3"/>
        <v>SEP</v>
      </c>
      <c r="N23" s="87" t="str">
        <f>N2</f>
        <v>OCT</v>
      </c>
      <c r="O23" s="87" t="str">
        <f>O2</f>
        <v>NOV</v>
      </c>
      <c r="P23" s="88" t="str">
        <f>P2</f>
        <v>DEC</v>
      </c>
      <c r="Q23" s="185" t="s">
        <v>132</v>
      </c>
    </row>
    <row r="24" spans="1:18" s="158" customFormat="1">
      <c r="A24" s="158" t="s">
        <v>271</v>
      </c>
      <c r="B24" s="423" t="s">
        <v>325</v>
      </c>
      <c r="C24" s="195">
        <v>36000</v>
      </c>
      <c r="D24" s="198" t="s">
        <v>67</v>
      </c>
      <c r="E24" s="159"/>
      <c r="F24" s="160">
        <v>36000</v>
      </c>
      <c r="G24" s="161"/>
      <c r="H24" s="162"/>
      <c r="I24" s="162"/>
      <c r="J24" s="163"/>
      <c r="K24" s="162"/>
      <c r="L24" s="162"/>
      <c r="M24" s="163"/>
      <c r="N24" s="162"/>
      <c r="O24" s="162"/>
      <c r="P24" s="163"/>
      <c r="Q24" s="209">
        <f t="shared" ref="Q24:Q36" si="4">SUM(E24:P24)</f>
        <v>36000</v>
      </c>
    </row>
    <row r="25" spans="1:18" s="158" customFormat="1">
      <c r="A25" s="158" t="s">
        <v>316</v>
      </c>
      <c r="B25" s="423" t="s">
        <v>323</v>
      </c>
      <c r="C25" s="195">
        <v>18000</v>
      </c>
      <c r="D25" s="198" t="s">
        <v>67</v>
      </c>
      <c r="E25" s="159"/>
      <c r="F25" s="160"/>
      <c r="G25" s="161">
        <f>C25</f>
        <v>18000</v>
      </c>
      <c r="H25" s="162"/>
      <c r="I25" s="162"/>
      <c r="J25" s="163"/>
      <c r="K25" s="162"/>
      <c r="L25" s="162"/>
      <c r="M25" s="163"/>
      <c r="N25" s="162"/>
      <c r="O25" s="162"/>
      <c r="P25" s="163"/>
      <c r="Q25" s="179">
        <f t="shared" si="4"/>
        <v>18000</v>
      </c>
    </row>
    <row r="26" spans="1:18">
      <c r="A26" t="s">
        <v>272</v>
      </c>
      <c r="B26" s="423" t="s">
        <v>187</v>
      </c>
      <c r="C26" s="194">
        <v>99600</v>
      </c>
      <c r="D26" s="197" t="s">
        <v>67</v>
      </c>
      <c r="E26" s="156"/>
      <c r="F26" s="78"/>
      <c r="G26" s="89">
        <f>C26</f>
        <v>99600</v>
      </c>
      <c r="H26" s="146"/>
      <c r="I26" s="146"/>
      <c r="J26" s="147"/>
      <c r="K26" s="146"/>
      <c r="L26" s="146"/>
      <c r="M26" s="147"/>
      <c r="N26" s="146"/>
      <c r="O26" s="146"/>
      <c r="P26" s="147"/>
      <c r="Q26" s="179">
        <f t="shared" si="4"/>
        <v>99600</v>
      </c>
    </row>
    <row r="27" spans="1:18" ht="13.5" customHeight="1">
      <c r="A27" t="s">
        <v>273</v>
      </c>
      <c r="B27" s="423" t="s">
        <v>323</v>
      </c>
      <c r="C27" s="194">
        <v>144000</v>
      </c>
      <c r="D27" s="197" t="s">
        <v>67</v>
      </c>
      <c r="E27" s="156"/>
      <c r="F27" s="78"/>
      <c r="G27" s="89">
        <f>C27</f>
        <v>144000</v>
      </c>
      <c r="H27" s="146"/>
      <c r="I27" s="146"/>
      <c r="J27" s="147"/>
      <c r="K27" s="146"/>
      <c r="L27" s="146"/>
      <c r="M27" s="147"/>
      <c r="N27" s="146"/>
      <c r="O27" s="146"/>
      <c r="P27" s="147"/>
      <c r="Q27" s="179">
        <f t="shared" si="4"/>
        <v>144000</v>
      </c>
    </row>
    <row r="28" spans="1:18" ht="13.5" customHeight="1">
      <c r="A28" t="s">
        <v>327</v>
      </c>
      <c r="C28" s="194">
        <v>150000</v>
      </c>
      <c r="D28" s="197" t="s">
        <v>65</v>
      </c>
      <c r="E28" s="156"/>
      <c r="F28" s="78"/>
      <c r="G28" s="89"/>
      <c r="H28" s="146">
        <f>C28</f>
        <v>150000</v>
      </c>
      <c r="I28" s="146"/>
      <c r="J28" s="147"/>
      <c r="K28" s="146"/>
      <c r="L28" s="146"/>
      <c r="M28" s="147"/>
      <c r="N28" s="146"/>
      <c r="O28" s="146"/>
      <c r="P28" s="147"/>
      <c r="Q28" s="179">
        <f t="shared" si="4"/>
        <v>150000</v>
      </c>
    </row>
    <row r="29" spans="1:18">
      <c r="A29" s="35" t="s">
        <v>274</v>
      </c>
      <c r="B29" s="423"/>
      <c r="C29" s="194">
        <v>63600</v>
      </c>
      <c r="D29" s="197" t="s">
        <v>65</v>
      </c>
      <c r="E29" s="156"/>
      <c r="F29" s="78"/>
      <c r="G29" s="89"/>
      <c r="H29" s="146">
        <v>63600</v>
      </c>
      <c r="I29" s="146"/>
      <c r="J29" s="147"/>
      <c r="K29" s="146"/>
      <c r="L29" s="146"/>
      <c r="M29" s="147"/>
      <c r="N29" s="146"/>
      <c r="O29" s="146"/>
      <c r="P29" s="147"/>
      <c r="Q29" s="179">
        <f t="shared" si="4"/>
        <v>63600</v>
      </c>
    </row>
    <row r="30" spans="1:18">
      <c r="A30" s="93" t="s">
        <v>275</v>
      </c>
      <c r="B30" s="423"/>
      <c r="C30" s="194">
        <v>36000</v>
      </c>
      <c r="D30" s="197" t="s">
        <v>65</v>
      </c>
      <c r="E30" s="156"/>
      <c r="F30" s="78"/>
      <c r="G30" s="89"/>
      <c r="H30" s="146">
        <v>36000</v>
      </c>
      <c r="I30" s="146"/>
      <c r="J30" s="147"/>
      <c r="K30" s="146"/>
      <c r="L30" s="146"/>
      <c r="M30" s="147"/>
      <c r="N30" s="146"/>
      <c r="O30" s="146"/>
      <c r="P30" s="147"/>
      <c r="Q30" s="179">
        <f>SUM(E30:P30)</f>
        <v>36000</v>
      </c>
    </row>
    <row r="31" spans="1:18">
      <c r="A31" s="93" t="s">
        <v>312</v>
      </c>
      <c r="B31" s="423"/>
      <c r="C31" s="194">
        <v>63600</v>
      </c>
      <c r="D31" s="197" t="s">
        <v>65</v>
      </c>
      <c r="E31" s="156"/>
      <c r="F31" s="78"/>
      <c r="G31" s="89"/>
      <c r="H31" s="146">
        <v>63600</v>
      </c>
      <c r="I31" s="146"/>
      <c r="J31" s="147"/>
      <c r="K31" s="146"/>
      <c r="L31" s="146"/>
      <c r="M31" s="147"/>
      <c r="N31" s="146"/>
      <c r="O31" s="146"/>
      <c r="P31" s="147"/>
      <c r="Q31" s="179">
        <f t="shared" si="4"/>
        <v>63600</v>
      </c>
    </row>
    <row r="32" spans="1:18">
      <c r="A32" s="93" t="s">
        <v>317</v>
      </c>
      <c r="B32" s="423" t="s">
        <v>442</v>
      </c>
      <c r="C32" s="194">
        <v>18000</v>
      </c>
      <c r="D32" s="197" t="s">
        <v>65</v>
      </c>
      <c r="E32" s="156"/>
      <c r="F32" s="78"/>
      <c r="G32" s="89"/>
      <c r="H32" s="146">
        <v>18000</v>
      </c>
      <c r="I32" s="146"/>
      <c r="J32" s="147"/>
      <c r="K32" s="146"/>
      <c r="L32" s="146"/>
      <c r="M32" s="147"/>
      <c r="N32" s="146"/>
      <c r="O32" s="146"/>
      <c r="P32" s="147"/>
      <c r="Q32" s="179">
        <f t="shared" si="4"/>
        <v>18000</v>
      </c>
    </row>
    <row r="33" spans="1:17">
      <c r="A33" s="93" t="s">
        <v>276</v>
      </c>
      <c r="B33" s="423"/>
      <c r="C33" s="194">
        <v>36000</v>
      </c>
      <c r="D33" s="197" t="s">
        <v>68</v>
      </c>
      <c r="E33" s="156"/>
      <c r="F33" s="78"/>
      <c r="G33" s="89"/>
      <c r="H33" s="146">
        <f>C33</f>
        <v>36000</v>
      </c>
      <c r="I33" s="146"/>
      <c r="J33" s="147"/>
      <c r="K33" s="146"/>
      <c r="L33" s="146"/>
      <c r="M33" s="147"/>
      <c r="N33" s="146"/>
      <c r="O33" s="146"/>
      <c r="P33" s="147"/>
      <c r="Q33" s="179">
        <f t="shared" si="4"/>
        <v>36000</v>
      </c>
    </row>
    <row r="34" spans="1:17">
      <c r="A34" s="93" t="s">
        <v>277</v>
      </c>
      <c r="B34" s="423"/>
      <c r="C34" s="194">
        <v>36000</v>
      </c>
      <c r="D34" s="197" t="s">
        <v>68</v>
      </c>
      <c r="E34" s="156"/>
      <c r="F34" s="78"/>
      <c r="G34" s="89"/>
      <c r="H34" s="146">
        <v>36000</v>
      </c>
      <c r="I34" s="146"/>
      <c r="J34" s="147"/>
      <c r="K34" s="146"/>
      <c r="L34" s="146"/>
      <c r="M34" s="147"/>
      <c r="N34" s="146"/>
      <c r="O34" s="146"/>
      <c r="P34" s="147"/>
      <c r="Q34" s="179">
        <f t="shared" si="4"/>
        <v>36000</v>
      </c>
    </row>
    <row r="35" spans="1:17">
      <c r="A35" s="93" t="s">
        <v>302</v>
      </c>
      <c r="B35" s="423"/>
      <c r="C35" s="194">
        <v>63600</v>
      </c>
      <c r="D35" s="197" t="s">
        <v>68</v>
      </c>
      <c r="E35" s="156"/>
      <c r="F35" s="78"/>
      <c r="G35" s="89"/>
      <c r="H35" s="146"/>
      <c r="I35" s="146">
        <f>C35</f>
        <v>63600</v>
      </c>
      <c r="J35" s="147"/>
      <c r="K35" s="146"/>
      <c r="L35" s="146"/>
      <c r="M35" s="147"/>
      <c r="N35" s="146"/>
      <c r="O35" s="146"/>
      <c r="P35" s="147"/>
      <c r="Q35" s="179">
        <f>SUM(E35:P35)</f>
        <v>63600</v>
      </c>
    </row>
    <row r="36" spans="1:17">
      <c r="A36" s="93" t="s">
        <v>310</v>
      </c>
      <c r="B36" s="423"/>
      <c r="C36" s="194">
        <v>36000</v>
      </c>
      <c r="D36" s="197" t="s">
        <v>68</v>
      </c>
      <c r="E36" s="156"/>
      <c r="F36" s="78"/>
      <c r="G36" s="89"/>
      <c r="H36" s="146"/>
      <c r="I36" s="146">
        <f>C36</f>
        <v>36000</v>
      </c>
      <c r="J36" s="147"/>
      <c r="K36" s="146"/>
      <c r="L36" s="146"/>
      <c r="M36" s="147"/>
      <c r="N36" s="146"/>
      <c r="O36" s="146"/>
      <c r="P36" s="147"/>
      <c r="Q36" s="179">
        <f t="shared" si="4"/>
        <v>36000</v>
      </c>
    </row>
    <row r="37" spans="1:17">
      <c r="A37" s="93" t="s">
        <v>278</v>
      </c>
      <c r="B37" s="423"/>
      <c r="C37" s="194">
        <v>63600</v>
      </c>
      <c r="D37" s="197" t="s">
        <v>60</v>
      </c>
      <c r="E37" s="156"/>
      <c r="F37" s="78"/>
      <c r="G37" s="89"/>
      <c r="H37" s="146"/>
      <c r="I37" s="146">
        <f>C37</f>
        <v>63600</v>
      </c>
      <c r="J37" s="147"/>
      <c r="K37" s="146"/>
      <c r="L37" s="146"/>
      <c r="M37" s="147"/>
      <c r="N37" s="146"/>
      <c r="O37" s="146"/>
      <c r="P37" s="147"/>
      <c r="Q37" s="179">
        <f t="shared" ref="Q37:Q46" si="5">SUM(E37:P37)</f>
        <v>63600</v>
      </c>
    </row>
    <row r="38" spans="1:17">
      <c r="A38" s="379" t="s">
        <v>279</v>
      </c>
      <c r="B38" s="423"/>
      <c r="C38" s="194">
        <v>63600</v>
      </c>
      <c r="D38" s="198" t="s">
        <v>60</v>
      </c>
      <c r="E38" s="159"/>
      <c r="F38" s="160"/>
      <c r="G38" s="161"/>
      <c r="H38" s="162"/>
      <c r="I38" s="162"/>
      <c r="J38" s="163">
        <f>C38</f>
        <v>63600</v>
      </c>
      <c r="K38" s="162"/>
      <c r="L38" s="162"/>
      <c r="M38" s="163"/>
      <c r="N38" s="162"/>
      <c r="O38" s="162"/>
      <c r="P38" s="163"/>
      <c r="Q38" s="179">
        <f>SUM(E38:P38)</f>
        <v>63600</v>
      </c>
    </row>
    <row r="39" spans="1:17">
      <c r="A39" s="93" t="s">
        <v>318</v>
      </c>
      <c r="B39" s="423"/>
      <c r="C39" s="194">
        <v>24000</v>
      </c>
      <c r="D39" s="198" t="s">
        <v>60</v>
      </c>
      <c r="E39" s="159"/>
      <c r="F39" s="160"/>
      <c r="G39" s="161"/>
      <c r="H39" s="162"/>
      <c r="I39" s="162"/>
      <c r="J39" s="163">
        <f>C39</f>
        <v>24000</v>
      </c>
      <c r="K39" s="162"/>
      <c r="L39" s="162"/>
      <c r="M39" s="163"/>
      <c r="N39" s="162"/>
      <c r="O39" s="162"/>
      <c r="P39" s="163"/>
      <c r="Q39" s="179">
        <f t="shared" si="5"/>
        <v>24000</v>
      </c>
    </row>
    <row r="40" spans="1:17" s="158" customFormat="1">
      <c r="A40" s="379" t="s">
        <v>280</v>
      </c>
      <c r="B40" s="423"/>
      <c r="C40" s="194">
        <v>36000</v>
      </c>
      <c r="D40" s="198" t="s">
        <v>61</v>
      </c>
      <c r="E40" s="159"/>
      <c r="F40" s="160"/>
      <c r="G40" s="161"/>
      <c r="H40" s="162"/>
      <c r="I40" s="162"/>
      <c r="J40" s="163">
        <f>C40</f>
        <v>36000</v>
      </c>
      <c r="K40" s="162"/>
      <c r="L40" s="162"/>
      <c r="M40" s="163"/>
      <c r="N40" s="162"/>
      <c r="O40" s="162"/>
      <c r="P40" s="163"/>
      <c r="Q40" s="209">
        <f t="shared" si="5"/>
        <v>36000</v>
      </c>
    </row>
    <row r="41" spans="1:17" s="158" customFormat="1">
      <c r="A41" s="379" t="s">
        <v>281</v>
      </c>
      <c r="B41" s="423"/>
      <c r="C41" s="194">
        <v>36000</v>
      </c>
      <c r="D41" s="198" t="s">
        <v>69</v>
      </c>
      <c r="E41" s="159"/>
      <c r="F41" s="160"/>
      <c r="G41" s="161"/>
      <c r="H41" s="162"/>
      <c r="I41" s="162"/>
      <c r="J41" s="163"/>
      <c r="K41" s="162">
        <f>C41</f>
        <v>36000</v>
      </c>
      <c r="L41" s="162"/>
      <c r="M41" s="163"/>
      <c r="N41" s="162"/>
      <c r="O41" s="162"/>
      <c r="P41" s="163"/>
      <c r="Q41" s="209">
        <f t="shared" si="5"/>
        <v>36000</v>
      </c>
    </row>
    <row r="42" spans="1:17">
      <c r="A42" s="379" t="s">
        <v>282</v>
      </c>
      <c r="B42" s="423"/>
      <c r="C42" s="194">
        <v>24000</v>
      </c>
      <c r="D42" s="198" t="s">
        <v>69</v>
      </c>
      <c r="E42" s="159"/>
      <c r="F42" s="160"/>
      <c r="G42" s="161"/>
      <c r="H42" s="162"/>
      <c r="I42" s="162"/>
      <c r="J42" s="163"/>
      <c r="K42" s="162"/>
      <c r="L42" s="162">
        <f>C42</f>
        <v>24000</v>
      </c>
      <c r="M42" s="163"/>
      <c r="N42" s="162"/>
      <c r="O42" s="162"/>
      <c r="P42" s="163"/>
      <c r="Q42" s="179">
        <f>SUM(E42:P42)</f>
        <v>24000</v>
      </c>
    </row>
    <row r="43" spans="1:17">
      <c r="A43" s="93" t="s">
        <v>283</v>
      </c>
      <c r="B43" s="423"/>
      <c r="C43" s="194">
        <v>24000</v>
      </c>
      <c r="D43" s="198" t="s">
        <v>69</v>
      </c>
      <c r="E43" s="159"/>
      <c r="F43" s="160"/>
      <c r="G43" s="161"/>
      <c r="H43" s="162"/>
      <c r="I43" s="162"/>
      <c r="J43" s="163"/>
      <c r="K43" s="162"/>
      <c r="L43" s="162">
        <f>C43</f>
        <v>24000</v>
      </c>
      <c r="M43" s="163"/>
      <c r="N43" s="162"/>
      <c r="O43" s="162"/>
      <c r="P43" s="163"/>
      <c r="Q43" s="179">
        <f t="shared" si="5"/>
        <v>24000</v>
      </c>
    </row>
    <row r="44" spans="1:17">
      <c r="A44" s="379" t="s">
        <v>284</v>
      </c>
      <c r="B44" s="423"/>
      <c r="C44" s="194">
        <v>36000</v>
      </c>
      <c r="D44" s="198" t="s">
        <v>62</v>
      </c>
      <c r="E44" s="159"/>
      <c r="F44" s="160"/>
      <c r="G44" s="161"/>
      <c r="H44" s="160"/>
      <c r="I44" s="160"/>
      <c r="J44" s="161"/>
      <c r="K44" s="160"/>
      <c r="L44" s="160">
        <f>C44</f>
        <v>36000</v>
      </c>
      <c r="M44" s="161"/>
      <c r="N44" s="160"/>
      <c r="O44" s="160"/>
      <c r="P44" s="161"/>
      <c r="Q44" s="179">
        <f t="shared" si="5"/>
        <v>36000</v>
      </c>
    </row>
    <row r="45" spans="1:17">
      <c r="A45" s="379" t="s">
        <v>285</v>
      </c>
      <c r="B45" s="423"/>
      <c r="C45" s="194">
        <v>36000</v>
      </c>
      <c r="D45" s="198" t="s">
        <v>62</v>
      </c>
      <c r="E45" s="159"/>
      <c r="F45" s="160"/>
      <c r="G45" s="161"/>
      <c r="H45" s="160"/>
      <c r="I45" s="160"/>
      <c r="J45" s="161"/>
      <c r="K45" s="160"/>
      <c r="L45" s="160"/>
      <c r="M45" s="161">
        <f>C45</f>
        <v>36000</v>
      </c>
      <c r="N45" s="160"/>
      <c r="O45" s="160"/>
      <c r="P45" s="161"/>
      <c r="Q45" s="179">
        <f t="shared" si="5"/>
        <v>36000</v>
      </c>
    </row>
    <row r="46" spans="1:17">
      <c r="A46" s="379" t="s">
        <v>286</v>
      </c>
      <c r="B46" s="423"/>
      <c r="C46" s="194">
        <v>36000</v>
      </c>
      <c r="D46" s="198" t="s">
        <v>63</v>
      </c>
      <c r="E46" s="159"/>
      <c r="F46" s="160"/>
      <c r="G46" s="161"/>
      <c r="H46" s="160"/>
      <c r="I46" s="160"/>
      <c r="J46" s="161"/>
      <c r="K46" s="160"/>
      <c r="L46" s="160"/>
      <c r="M46" s="161">
        <f>C46</f>
        <v>36000</v>
      </c>
      <c r="N46" s="160"/>
      <c r="O46" s="160"/>
      <c r="P46" s="161"/>
      <c r="Q46" s="179">
        <f t="shared" si="5"/>
        <v>36000</v>
      </c>
    </row>
    <row r="47" spans="1:17">
      <c r="A47" s="379" t="s">
        <v>287</v>
      </c>
      <c r="B47" s="423"/>
      <c r="C47" s="194">
        <v>36000</v>
      </c>
      <c r="D47" s="197" t="s">
        <v>91</v>
      </c>
      <c r="E47" s="156"/>
      <c r="F47" s="78"/>
      <c r="G47" s="89"/>
      <c r="H47" s="146"/>
      <c r="I47" s="146"/>
      <c r="J47" s="147"/>
      <c r="K47" s="146"/>
      <c r="L47" s="146"/>
      <c r="M47" s="147"/>
      <c r="N47" s="146">
        <f>C47</f>
        <v>36000</v>
      </c>
      <c r="O47" s="146"/>
      <c r="P47" s="147"/>
      <c r="Q47" s="179">
        <f t="shared" ref="Q47:Q65" si="6">SUM(E47:P47)</f>
        <v>36000</v>
      </c>
    </row>
    <row r="48" spans="1:17">
      <c r="A48" s="379" t="s">
        <v>288</v>
      </c>
      <c r="B48" s="423"/>
      <c r="C48" s="194">
        <v>63600</v>
      </c>
      <c r="D48" s="198" t="s">
        <v>91</v>
      </c>
      <c r="E48" s="159"/>
      <c r="F48" s="160"/>
      <c r="G48" s="161"/>
      <c r="H48" s="162"/>
      <c r="I48" s="162"/>
      <c r="J48" s="163"/>
      <c r="K48" s="162"/>
      <c r="L48" s="162"/>
      <c r="M48" s="163"/>
      <c r="N48" s="162">
        <f>C48</f>
        <v>63600</v>
      </c>
      <c r="O48" s="162"/>
      <c r="P48" s="163"/>
      <c r="Q48" s="179">
        <f t="shared" si="6"/>
        <v>63600</v>
      </c>
    </row>
    <row r="49" spans="1:17" s="158" customFormat="1">
      <c r="A49" s="93" t="s">
        <v>311</v>
      </c>
      <c r="B49" s="423"/>
      <c r="C49" s="194">
        <v>99600</v>
      </c>
      <c r="D49" s="198" t="s">
        <v>91</v>
      </c>
      <c r="E49" s="159"/>
      <c r="F49" s="160"/>
      <c r="G49" s="161"/>
      <c r="H49" s="162"/>
      <c r="I49" s="162"/>
      <c r="J49" s="163"/>
      <c r="K49" s="162"/>
      <c r="L49" s="162"/>
      <c r="M49" s="163"/>
      <c r="N49" s="162"/>
      <c r="O49" s="162">
        <f>C49</f>
        <v>99600</v>
      </c>
      <c r="P49" s="163"/>
      <c r="Q49" s="209">
        <f t="shared" si="6"/>
        <v>99600</v>
      </c>
    </row>
    <row r="50" spans="1:17" s="158" customFormat="1">
      <c r="A50" s="379" t="s">
        <v>289</v>
      </c>
      <c r="B50" s="423"/>
      <c r="C50" s="194">
        <v>36000</v>
      </c>
      <c r="D50" s="198" t="s">
        <v>91</v>
      </c>
      <c r="E50" s="159"/>
      <c r="F50" s="160"/>
      <c r="G50" s="161"/>
      <c r="H50" s="162"/>
      <c r="I50" s="162"/>
      <c r="J50" s="163"/>
      <c r="K50" s="162"/>
      <c r="L50" s="162"/>
      <c r="M50" s="163"/>
      <c r="N50" s="162"/>
      <c r="O50" s="162">
        <f>C50</f>
        <v>36000</v>
      </c>
      <c r="P50" s="163"/>
      <c r="Q50" s="209">
        <f t="shared" si="6"/>
        <v>36000</v>
      </c>
    </row>
    <row r="51" spans="1:17" s="158" customFormat="1">
      <c r="A51" s="93" t="s">
        <v>305</v>
      </c>
      <c r="B51" s="423"/>
      <c r="C51" s="194">
        <v>175000</v>
      </c>
      <c r="D51" s="198" t="s">
        <v>91</v>
      </c>
      <c r="E51" s="159"/>
      <c r="F51" s="160"/>
      <c r="G51" s="161"/>
      <c r="H51" s="162"/>
      <c r="I51" s="162"/>
      <c r="J51" s="163"/>
      <c r="K51" s="162"/>
      <c r="L51" s="162"/>
      <c r="M51" s="163"/>
      <c r="N51" s="162"/>
      <c r="O51" s="162">
        <f>C51</f>
        <v>175000</v>
      </c>
      <c r="P51" s="163"/>
      <c r="Q51" s="209">
        <f>SUM(E51:P51)</f>
        <v>175000</v>
      </c>
    </row>
    <row r="52" spans="1:17" s="158" customFormat="1">
      <c r="A52" s="93" t="s">
        <v>307</v>
      </c>
      <c r="B52" s="423"/>
      <c r="C52" s="194">
        <v>63600</v>
      </c>
      <c r="D52" s="198" t="s">
        <v>91</v>
      </c>
      <c r="E52" s="159"/>
      <c r="F52" s="160"/>
      <c r="G52" s="161"/>
      <c r="H52" s="162"/>
      <c r="I52" s="162"/>
      <c r="J52" s="163"/>
      <c r="K52" s="162"/>
      <c r="L52" s="162"/>
      <c r="M52" s="163"/>
      <c r="N52" s="162"/>
      <c r="O52" s="162">
        <f>C52</f>
        <v>63600</v>
      </c>
      <c r="P52" s="163"/>
      <c r="Q52" s="209">
        <f>SUM(E52:P52)</f>
        <v>63600</v>
      </c>
    </row>
    <row r="53" spans="1:17" s="158" customFormat="1">
      <c r="A53" s="93" t="s">
        <v>319</v>
      </c>
      <c r="B53" s="423"/>
      <c r="C53" s="194">
        <v>63600</v>
      </c>
      <c r="D53" s="198" t="s">
        <v>91</v>
      </c>
      <c r="E53" s="159"/>
      <c r="F53" s="160"/>
      <c r="G53" s="161"/>
      <c r="H53" s="162"/>
      <c r="I53" s="162"/>
      <c r="J53" s="163"/>
      <c r="K53" s="162"/>
      <c r="L53" s="162"/>
      <c r="M53" s="163"/>
      <c r="N53" s="162"/>
      <c r="O53" s="162">
        <f>C53</f>
        <v>63600</v>
      </c>
      <c r="P53" s="163"/>
      <c r="Q53" s="209">
        <f>SUM(E53:P53)</f>
        <v>63600</v>
      </c>
    </row>
    <row r="54" spans="1:17" s="158" customFormat="1">
      <c r="A54" s="93" t="s">
        <v>320</v>
      </c>
      <c r="B54" s="423"/>
      <c r="C54" s="194">
        <v>36000</v>
      </c>
      <c r="D54" s="198" t="s">
        <v>91</v>
      </c>
      <c r="E54" s="159"/>
      <c r="F54" s="160"/>
      <c r="G54" s="161"/>
      <c r="H54" s="162"/>
      <c r="I54" s="162"/>
      <c r="J54" s="163"/>
      <c r="K54" s="162"/>
      <c r="L54" s="162"/>
      <c r="M54" s="163"/>
      <c r="N54" s="162">
        <v>36000</v>
      </c>
      <c r="O54" s="162"/>
      <c r="P54" s="163"/>
      <c r="Q54" s="209">
        <f t="shared" si="6"/>
        <v>36000</v>
      </c>
    </row>
    <row r="55" spans="1:17">
      <c r="A55" s="93" t="s">
        <v>297</v>
      </c>
      <c r="B55" s="423"/>
      <c r="C55" s="194">
        <v>144000</v>
      </c>
      <c r="D55" s="198" t="s">
        <v>64</v>
      </c>
      <c r="E55" s="159"/>
      <c r="F55" s="160"/>
      <c r="G55" s="161"/>
      <c r="H55" s="162"/>
      <c r="I55" s="162"/>
      <c r="J55" s="163"/>
      <c r="K55" s="162"/>
      <c r="L55" s="162"/>
      <c r="M55" s="163"/>
      <c r="N55" s="162"/>
      <c r="O55" s="162">
        <f>C55</f>
        <v>144000</v>
      </c>
      <c r="P55" s="163"/>
      <c r="Q55" s="179">
        <f t="shared" si="6"/>
        <v>144000</v>
      </c>
    </row>
    <row r="56" spans="1:17">
      <c r="A56" s="379" t="s">
        <v>290</v>
      </c>
      <c r="B56" s="423"/>
      <c r="C56" s="194">
        <v>63600</v>
      </c>
      <c r="D56" s="198" t="s">
        <v>64</v>
      </c>
      <c r="E56" s="159"/>
      <c r="F56" s="160"/>
      <c r="G56" s="161"/>
      <c r="H56" s="160"/>
      <c r="I56" s="160"/>
      <c r="J56" s="161"/>
      <c r="K56" s="160"/>
      <c r="L56" s="160"/>
      <c r="M56" s="161"/>
      <c r="N56" s="160"/>
      <c r="O56" s="160">
        <f>C57</f>
        <v>36000</v>
      </c>
      <c r="P56" s="161"/>
      <c r="Q56" s="179">
        <f t="shared" si="6"/>
        <v>36000</v>
      </c>
    </row>
    <row r="57" spans="1:17">
      <c r="A57" s="379" t="s">
        <v>291</v>
      </c>
      <c r="B57" s="423"/>
      <c r="C57" s="194">
        <v>36000</v>
      </c>
      <c r="D57" s="198" t="s">
        <v>64</v>
      </c>
      <c r="E57" s="159"/>
      <c r="F57" s="160"/>
      <c r="G57" s="161"/>
      <c r="H57" s="160"/>
      <c r="I57" s="160"/>
      <c r="J57" s="161"/>
      <c r="K57" s="160"/>
      <c r="L57" s="160"/>
      <c r="M57" s="161"/>
      <c r="N57" s="160"/>
      <c r="O57" s="160"/>
      <c r="P57" s="161">
        <f>C57</f>
        <v>36000</v>
      </c>
      <c r="Q57" s="179">
        <f t="shared" si="6"/>
        <v>36000</v>
      </c>
    </row>
    <row r="58" spans="1:17">
      <c r="A58" s="93" t="s">
        <v>309</v>
      </c>
      <c r="B58" s="423"/>
      <c r="C58" s="194">
        <v>144000</v>
      </c>
      <c r="D58" s="198" t="s">
        <v>64</v>
      </c>
      <c r="E58" s="159"/>
      <c r="F58" s="160"/>
      <c r="G58" s="161"/>
      <c r="H58" s="160"/>
      <c r="I58" s="160"/>
      <c r="J58" s="161"/>
      <c r="K58" s="160"/>
      <c r="L58" s="160"/>
      <c r="M58" s="161"/>
      <c r="N58" s="160"/>
      <c r="O58" s="160"/>
      <c r="P58" s="161">
        <f>C58</f>
        <v>144000</v>
      </c>
      <c r="Q58" s="179">
        <f t="shared" si="6"/>
        <v>144000</v>
      </c>
    </row>
    <row r="59" spans="1:17">
      <c r="A59" s="379" t="s">
        <v>292</v>
      </c>
      <c r="B59" s="423"/>
      <c r="C59" s="194">
        <v>36000</v>
      </c>
      <c r="D59" s="198" t="s">
        <v>80</v>
      </c>
      <c r="E59" s="159"/>
      <c r="F59" s="160"/>
      <c r="G59" s="161"/>
      <c r="H59" s="160"/>
      <c r="I59" s="160"/>
      <c r="J59" s="161"/>
      <c r="K59" s="160"/>
      <c r="L59" s="160"/>
      <c r="M59" s="161"/>
      <c r="N59" s="160"/>
      <c r="O59" s="160"/>
      <c r="P59" s="161">
        <f>C59</f>
        <v>36000</v>
      </c>
      <c r="Q59" s="179">
        <f t="shared" si="6"/>
        <v>36000</v>
      </c>
    </row>
    <row r="60" spans="1:17">
      <c r="A60" s="379" t="s">
        <v>293</v>
      </c>
      <c r="B60" s="423"/>
      <c r="C60" s="194">
        <v>63600</v>
      </c>
      <c r="D60" s="198" t="s">
        <v>80</v>
      </c>
      <c r="E60" s="159"/>
      <c r="F60" s="160"/>
      <c r="G60" s="161"/>
      <c r="H60" s="160"/>
      <c r="I60" s="160"/>
      <c r="J60" s="161"/>
      <c r="K60" s="160"/>
      <c r="L60" s="160"/>
      <c r="M60" s="161"/>
      <c r="N60" s="160"/>
      <c r="O60" s="160"/>
      <c r="P60" s="161"/>
      <c r="Q60" s="179">
        <f t="shared" si="6"/>
        <v>0</v>
      </c>
    </row>
    <row r="61" spans="1:17">
      <c r="A61" s="379" t="s">
        <v>294</v>
      </c>
      <c r="B61" s="423"/>
      <c r="C61" s="194">
        <v>36000</v>
      </c>
      <c r="D61" s="198" t="s">
        <v>66</v>
      </c>
      <c r="E61" s="159"/>
      <c r="F61" s="160"/>
      <c r="G61" s="161"/>
      <c r="H61" s="160"/>
      <c r="I61" s="160"/>
      <c r="J61" s="161"/>
      <c r="K61" s="160"/>
      <c r="L61" s="160"/>
      <c r="M61" s="161"/>
      <c r="N61" s="160"/>
      <c r="O61" s="160"/>
      <c r="P61" s="161"/>
      <c r="Q61" s="179">
        <f t="shared" si="6"/>
        <v>0</v>
      </c>
    </row>
    <row r="62" spans="1:17">
      <c r="A62" s="379" t="s">
        <v>295</v>
      </c>
      <c r="B62" s="423"/>
      <c r="C62" s="194">
        <v>175000</v>
      </c>
      <c r="D62" s="198" t="s">
        <v>66</v>
      </c>
      <c r="E62" s="159"/>
      <c r="F62" s="160"/>
      <c r="G62" s="161"/>
      <c r="H62" s="160"/>
      <c r="I62" s="160"/>
      <c r="J62" s="161"/>
      <c r="K62" s="160"/>
      <c r="L62" s="160"/>
      <c r="M62" s="161"/>
      <c r="N62" s="160"/>
      <c r="O62" s="160"/>
      <c r="P62" s="161"/>
      <c r="Q62" s="179">
        <f>SUM(E62:P62)</f>
        <v>0</v>
      </c>
    </row>
    <row r="63" spans="1:17">
      <c r="A63" s="93" t="s">
        <v>296</v>
      </c>
      <c r="B63" s="423"/>
      <c r="C63" s="194">
        <v>63600</v>
      </c>
      <c r="D63" s="198" t="s">
        <v>66</v>
      </c>
      <c r="E63" s="159"/>
      <c r="F63" s="160"/>
      <c r="G63" s="161"/>
      <c r="H63" s="160"/>
      <c r="I63" s="160"/>
      <c r="J63" s="161"/>
      <c r="K63" s="160"/>
      <c r="L63" s="160"/>
      <c r="M63" s="161"/>
      <c r="N63" s="160"/>
      <c r="O63" s="160"/>
      <c r="P63" s="161"/>
      <c r="Q63" s="179">
        <f t="shared" si="6"/>
        <v>0</v>
      </c>
    </row>
    <row r="64" spans="1:17">
      <c r="A64" s="164" t="s">
        <v>308</v>
      </c>
      <c r="B64" s="424"/>
      <c r="C64" s="194">
        <v>36000</v>
      </c>
      <c r="D64" s="198" t="s">
        <v>66</v>
      </c>
      <c r="E64" s="159"/>
      <c r="F64" s="160"/>
      <c r="G64" s="161"/>
      <c r="H64" s="160"/>
      <c r="I64" s="160"/>
      <c r="J64" s="161"/>
      <c r="K64" s="160"/>
      <c r="L64" s="160"/>
      <c r="M64" s="161"/>
      <c r="N64" s="160"/>
      <c r="O64" s="160"/>
      <c r="P64" s="161"/>
      <c r="Q64" s="179">
        <f>SUM(E64:P64)</f>
        <v>0</v>
      </c>
    </row>
    <row r="65" spans="1:19" ht="13.5" thickBot="1">
      <c r="A65" s="390" t="s">
        <v>413</v>
      </c>
      <c r="B65" s="497"/>
      <c r="C65" s="521"/>
      <c r="D65" s="522" t="s">
        <v>136</v>
      </c>
      <c r="E65" s="523">
        <f>E69</f>
        <v>0</v>
      </c>
      <c r="F65" s="524">
        <f>F69+E70</f>
        <v>0</v>
      </c>
      <c r="G65" s="525">
        <f t="shared" ref="G65:P65" si="7">G69+F70</f>
        <v>0</v>
      </c>
      <c r="H65" s="524">
        <f t="shared" si="7"/>
        <v>0</v>
      </c>
      <c r="I65" s="524">
        <f t="shared" si="7"/>
        <v>0</v>
      </c>
      <c r="J65" s="525">
        <f t="shared" si="7"/>
        <v>0</v>
      </c>
      <c r="K65" s="524">
        <f t="shared" si="7"/>
        <v>0</v>
      </c>
      <c r="L65" s="524">
        <f t="shared" si="7"/>
        <v>0</v>
      </c>
      <c r="M65" s="525">
        <f t="shared" si="7"/>
        <v>0</v>
      </c>
      <c r="N65" s="524">
        <f t="shared" si="7"/>
        <v>0</v>
      </c>
      <c r="O65" s="524">
        <f t="shared" si="7"/>
        <v>0</v>
      </c>
      <c r="P65" s="525">
        <f t="shared" si="7"/>
        <v>0</v>
      </c>
      <c r="Q65" s="526">
        <f t="shared" si="6"/>
        <v>0</v>
      </c>
    </row>
    <row r="66" spans="1:19">
      <c r="A66" s="5" t="str">
        <f>A19</f>
        <v>TOTAL</v>
      </c>
      <c r="B66" s="6"/>
      <c r="C66" s="132">
        <f>SUM(C24:C65)</f>
        <v>2550800</v>
      </c>
      <c r="D66" s="200"/>
      <c r="E66" s="157">
        <f t="shared" ref="E66:Q66" si="8">SUM(E24:E65)</f>
        <v>0</v>
      </c>
      <c r="F66" s="99">
        <f t="shared" si="8"/>
        <v>36000</v>
      </c>
      <c r="G66" s="100">
        <f t="shared" si="8"/>
        <v>261600</v>
      </c>
      <c r="H66" s="99">
        <f t="shared" si="8"/>
        <v>403200</v>
      </c>
      <c r="I66" s="99">
        <f t="shared" si="8"/>
        <v>163200</v>
      </c>
      <c r="J66" s="100">
        <f t="shared" si="8"/>
        <v>123600</v>
      </c>
      <c r="K66" s="99">
        <f t="shared" si="8"/>
        <v>36000</v>
      </c>
      <c r="L66" s="99">
        <f t="shared" si="8"/>
        <v>84000</v>
      </c>
      <c r="M66" s="100">
        <f t="shared" si="8"/>
        <v>72000</v>
      </c>
      <c r="N66" s="99">
        <f t="shared" si="8"/>
        <v>135600</v>
      </c>
      <c r="O66" s="99">
        <f t="shared" si="8"/>
        <v>617800</v>
      </c>
      <c r="P66" s="154">
        <f t="shared" si="8"/>
        <v>216000</v>
      </c>
      <c r="Q66" s="179">
        <f t="shared" si="8"/>
        <v>2149000</v>
      </c>
    </row>
    <row r="67" spans="1:19">
      <c r="A67" s="208"/>
      <c r="B67" s="422"/>
      <c r="C67" s="207"/>
    </row>
    <row r="68" spans="1:19" ht="18.75" thickBot="1">
      <c r="A68" s="77" t="s">
        <v>141</v>
      </c>
      <c r="B68" s="421"/>
      <c r="E68" s="215" t="str">
        <f>E2</f>
        <v>JAN</v>
      </c>
      <c r="F68" s="87" t="str">
        <f t="shared" ref="F68:P68" si="9">F2</f>
        <v>FEB</v>
      </c>
      <c r="G68" s="87" t="str">
        <f t="shared" si="9"/>
        <v>MAR</v>
      </c>
      <c r="H68" s="215" t="str">
        <f t="shared" si="9"/>
        <v>APR</v>
      </c>
      <c r="I68" s="87" t="str">
        <f t="shared" si="9"/>
        <v>MAY</v>
      </c>
      <c r="J68" s="87" t="str">
        <f t="shared" si="9"/>
        <v>JUN</v>
      </c>
      <c r="K68" s="215" t="str">
        <f t="shared" si="9"/>
        <v>JUL</v>
      </c>
      <c r="L68" s="87" t="str">
        <f t="shared" si="9"/>
        <v>AUG</v>
      </c>
      <c r="M68" s="87" t="str">
        <f t="shared" si="9"/>
        <v>SEP</v>
      </c>
      <c r="N68" s="215" t="str">
        <f t="shared" si="9"/>
        <v>OCT</v>
      </c>
      <c r="O68" s="87" t="str">
        <f t="shared" si="9"/>
        <v>NOV</v>
      </c>
      <c r="P68" s="88" t="str">
        <f t="shared" si="9"/>
        <v>DEC</v>
      </c>
      <c r="Q68" s="408" t="s">
        <v>73</v>
      </c>
    </row>
    <row r="69" spans="1:19">
      <c r="B69" s="499"/>
      <c r="C69" s="500"/>
      <c r="D69" s="498" t="s">
        <v>410</v>
      </c>
      <c r="E69" s="501">
        <f>IF('CASH FLOW'!$R$2=1,ACTIFY!B21,0)</f>
        <v>0</v>
      </c>
      <c r="F69" s="501">
        <f>IF('CASH FLOW'!$R$2=1,ACTIFY!C21,0)</f>
        <v>0</v>
      </c>
      <c r="G69" s="502">
        <f>IF('CASH FLOW'!$R$2=1,ACTIFY!D21,0)</f>
        <v>0</v>
      </c>
      <c r="H69" s="501">
        <f>IF('CASH FLOW'!$R$2=1,ACTIFY!E21,0)</f>
        <v>0</v>
      </c>
      <c r="I69" s="501">
        <f>IF('CASH FLOW'!$R$2=1,ACTIFY!F21,0)</f>
        <v>0</v>
      </c>
      <c r="J69" s="502">
        <f>IF('CASH FLOW'!$R$2=1,ACTIFY!G21,0)</f>
        <v>0</v>
      </c>
      <c r="K69" s="501">
        <f>IF('CASH FLOW'!$R$2=1,ACTIFY!H21,0)</f>
        <v>0</v>
      </c>
      <c r="L69" s="501">
        <f>IF('CASH FLOW'!$R$2=1,ACTIFY!I21,0)</f>
        <v>0</v>
      </c>
      <c r="M69" s="502">
        <f>IF('CASH FLOW'!$R$2=1,ACTIFY!J21,0)</f>
        <v>0</v>
      </c>
      <c r="N69" s="501">
        <f>IF('CASH FLOW'!$R$2=1,ACTIFY!K21,0)</f>
        <v>0</v>
      </c>
      <c r="O69" s="501">
        <f>IF('CASH FLOW'!$R$2=1,ACTIFY!L21,0)</f>
        <v>0</v>
      </c>
      <c r="P69" s="502">
        <f>IF('CASH FLOW'!$R$2=1,ACTIFY!M21,0)</f>
        <v>0</v>
      </c>
      <c r="Q69" s="503">
        <f t="shared" ref="Q69:Q74" si="10">SUM(E69:P69)</f>
        <v>0</v>
      </c>
      <c r="R69" s="504" t="str">
        <f>D69</f>
        <v>ACTIFY Maintenance Renewals</v>
      </c>
      <c r="S69" s="505"/>
    </row>
    <row r="70" spans="1:19">
      <c r="B70" s="499"/>
      <c r="C70" s="500"/>
      <c r="D70" s="498" t="s">
        <v>423</v>
      </c>
      <c r="E70" s="501">
        <f>IF('CASH FLOW'!$R$2=1,ACTIFY!B24,0)</f>
        <v>0</v>
      </c>
      <c r="F70" s="501">
        <f>IF('CASH FLOW'!$R$2=1,ACTIFY!C24,0)</f>
        <v>0</v>
      </c>
      <c r="G70" s="502">
        <f>IF('CASH FLOW'!$R$2=1,ACTIFY!D24,0)</f>
        <v>0</v>
      </c>
      <c r="H70" s="501">
        <f>IF('CASH FLOW'!$R$2=1,ACTIFY!E24,0)</f>
        <v>0</v>
      </c>
      <c r="I70" s="501">
        <f>IF('CASH FLOW'!$R$2=1,ACTIFY!F24,0)</f>
        <v>0</v>
      </c>
      <c r="J70" s="502">
        <f>IF('CASH FLOW'!$R$2=1,ACTIFY!G24,0)</f>
        <v>0</v>
      </c>
      <c r="K70" s="501">
        <f>IF('CASH FLOW'!$R$2=1,ACTIFY!H24,0)</f>
        <v>0</v>
      </c>
      <c r="L70" s="501">
        <f>IF('CASH FLOW'!$R$2=1,ACTIFY!I24,0)</f>
        <v>0</v>
      </c>
      <c r="M70" s="502">
        <f>IF('CASH FLOW'!$R$2=1,ACTIFY!J24,0)</f>
        <v>0</v>
      </c>
      <c r="N70" s="501">
        <f>IF('CASH FLOW'!$R$2=1,ACTIFY!K24,0)</f>
        <v>0</v>
      </c>
      <c r="O70" s="501">
        <f>IF('CASH FLOW'!$R$2=1,ACTIFY!L24,0)</f>
        <v>0</v>
      </c>
      <c r="P70" s="502">
        <f>IF('CASH FLOW'!$R$2=1,ACTIFY!M24,0)</f>
        <v>0</v>
      </c>
      <c r="Q70" s="503">
        <f t="shared" si="10"/>
        <v>0</v>
      </c>
      <c r="R70" s="504" t="str">
        <f>D70</f>
        <v>ACTIFY New Subscriptions</v>
      </c>
      <c r="S70" s="505"/>
    </row>
    <row r="71" spans="1:19">
      <c r="B71" s="507"/>
      <c r="C71" s="508"/>
      <c r="D71" s="506" t="s">
        <v>411</v>
      </c>
      <c r="E71" s="509">
        <f>IF('CASH FLOW'!$R$2=1,ACTIFY!B26,0)</f>
        <v>0</v>
      </c>
      <c r="F71" s="509">
        <f>IF('CASH FLOW'!$R$2=1,ACTIFY!C26,0)</f>
        <v>0</v>
      </c>
      <c r="G71" s="510">
        <f>IF('CASH FLOW'!$R$2=1,ACTIFY!D26,0)</f>
        <v>0</v>
      </c>
      <c r="H71" s="509">
        <f>IF('CASH FLOW'!$R$2=1,ACTIFY!E26,0)</f>
        <v>0</v>
      </c>
      <c r="I71" s="509">
        <f>IF('CASH FLOW'!$R$2=1,ACTIFY!F26,0)</f>
        <v>0</v>
      </c>
      <c r="J71" s="510">
        <f>IF('CASH FLOW'!$R$2=1,ACTIFY!G26,0)</f>
        <v>0</v>
      </c>
      <c r="K71" s="509">
        <f>IF('CASH FLOW'!$R$2=1,ACTIFY!H26,0)</f>
        <v>0</v>
      </c>
      <c r="L71" s="509">
        <f>IF('CASH FLOW'!$R$2=1,ACTIFY!I26,0)</f>
        <v>0</v>
      </c>
      <c r="M71" s="510">
        <f>IF('CASH FLOW'!$R$2=1,ACTIFY!J26,0)</f>
        <v>0</v>
      </c>
      <c r="N71" s="509">
        <f>IF('CASH FLOW'!$R$2=1,ACTIFY!K26,0)</f>
        <v>0</v>
      </c>
      <c r="O71" s="509">
        <f>IF('CASH FLOW'!$R$2=1,ACTIFY!L26,0)</f>
        <v>0</v>
      </c>
      <c r="P71" s="510">
        <f>IF('CASH FLOW'!$R$2=1,ACTIFY!M26,0)</f>
        <v>0</v>
      </c>
      <c r="Q71" s="511">
        <f t="shared" si="10"/>
        <v>0</v>
      </c>
      <c r="R71" s="512" t="str">
        <f>D71</f>
        <v>ACTIFY Consulting</v>
      </c>
      <c r="S71" s="513"/>
    </row>
    <row r="72" spans="1:19">
      <c r="B72" s="424"/>
      <c r="C72" s="99"/>
      <c r="D72" s="172" t="s">
        <v>212</v>
      </c>
      <c r="E72" s="44">
        <f>SUMIF(Subscriptions!$E$3:$E$37,'New Bookings Forecast'!E2,Subscriptions!$D$3:$D$37)</f>
        <v>134200</v>
      </c>
      <c r="F72" s="44">
        <f>SUMIF(Subscriptions!$E$3:$E$37,'New Bookings Forecast'!F2,Subscriptions!$D$3:$D$37)</f>
        <v>23000</v>
      </c>
      <c r="G72" s="89">
        <f>SUMIF(Subscriptions!$E$3:$E$37,'New Bookings Forecast'!G2,Subscriptions!$D$3:$D$37)</f>
        <v>79000</v>
      </c>
      <c r="H72" s="44">
        <f>SUMIF(Subscriptions!$E$3:$E$37,'New Bookings Forecast'!H2,Subscriptions!$D$3:$D$37)</f>
        <v>154000</v>
      </c>
      <c r="I72" s="44">
        <f>SUMIF(Subscriptions!$E$3:$E$37,'New Bookings Forecast'!I2,Subscriptions!$D$3:$D$37)</f>
        <v>93426</v>
      </c>
      <c r="J72" s="89">
        <f>SUMIF(Subscriptions!$E$3:$E$37,'New Bookings Forecast'!J2,Subscriptions!$D$3:$D$37)</f>
        <v>49500</v>
      </c>
      <c r="K72" s="44">
        <f>SUMIF(Subscriptions!$E$3:$E$37,'New Bookings Forecast'!K2,Subscriptions!$D$3:$D$37)</f>
        <v>109600</v>
      </c>
      <c r="L72" s="44">
        <f>SUMIF(Subscriptions!$E$3:$E$37,'New Bookings Forecast'!L2,Subscriptions!$D$3:$D$37)</f>
        <v>0</v>
      </c>
      <c r="M72" s="89">
        <f>SUMIF(Subscriptions!$E$3:$E$37,'New Bookings Forecast'!M2,Subscriptions!$D$3:$D$37)</f>
        <v>41600</v>
      </c>
      <c r="N72" s="44">
        <f>SUMIF(Subscriptions!$E$3:$E$37,'New Bookings Forecast'!N2,Subscriptions!$D$3:$D$37)</f>
        <v>50000</v>
      </c>
      <c r="O72" s="44">
        <f>SUMIF(Subscriptions!$E$3:$E$37,'New Bookings Forecast'!O2,Subscriptions!$D$3:$D$37)</f>
        <v>99600</v>
      </c>
      <c r="P72" s="89">
        <f>SUMIF(Subscriptions!$E$3:$E$37,'New Bookings Forecast'!P2,Subscriptions!$D$3:$D$37)</f>
        <v>332385</v>
      </c>
      <c r="Q72" s="409">
        <f t="shared" si="10"/>
        <v>1166311</v>
      </c>
      <c r="R72" s="412" t="s">
        <v>212</v>
      </c>
    </row>
    <row r="73" spans="1:19">
      <c r="B73" s="424"/>
      <c r="C73" s="99"/>
      <c r="D73" s="172" t="s">
        <v>140</v>
      </c>
      <c r="E73" s="44">
        <f t="shared" ref="E73:O73" si="11">SUMIF($D$3:$D$16,E2,$C$3:$C$16)+F18</f>
        <v>230000</v>
      </c>
      <c r="F73" s="44">
        <f t="shared" si="11"/>
        <v>125000</v>
      </c>
      <c r="G73" s="89">
        <f t="shared" si="11"/>
        <v>75000</v>
      </c>
      <c r="H73" s="44">
        <f t="shared" si="11"/>
        <v>200000</v>
      </c>
      <c r="I73" s="44">
        <f t="shared" si="11"/>
        <v>125000</v>
      </c>
      <c r="J73" s="89">
        <f t="shared" si="11"/>
        <v>125000</v>
      </c>
      <c r="K73" s="44">
        <f t="shared" si="11"/>
        <v>125000</v>
      </c>
      <c r="L73" s="44">
        <f t="shared" si="11"/>
        <v>75000</v>
      </c>
      <c r="M73" s="89">
        <f t="shared" si="11"/>
        <v>175000</v>
      </c>
      <c r="N73" s="44">
        <f t="shared" si="11"/>
        <v>175000</v>
      </c>
      <c r="O73" s="44">
        <f t="shared" si="11"/>
        <v>75000</v>
      </c>
      <c r="P73" s="89">
        <f>SUMIF($D$3:$D$16,P2,$C$3:$C$16)+R18</f>
        <v>150000</v>
      </c>
      <c r="Q73" s="409">
        <f t="shared" si="10"/>
        <v>1655000</v>
      </c>
      <c r="R73" s="412" t="s">
        <v>140</v>
      </c>
    </row>
    <row r="74" spans="1:19" ht="13.5" thickBot="1">
      <c r="B74" s="427"/>
      <c r="C74" s="187"/>
      <c r="D74" s="188" t="s">
        <v>139</v>
      </c>
      <c r="E74" s="203">
        <f t="shared" ref="E74:P74" si="12">SUMIF($D$24:$D$65,E2,$C$24:$C$65)</f>
        <v>297600</v>
      </c>
      <c r="F74" s="203">
        <f t="shared" si="12"/>
        <v>331200</v>
      </c>
      <c r="G74" s="204">
        <f t="shared" si="12"/>
        <v>171600</v>
      </c>
      <c r="H74" s="203">
        <f t="shared" si="12"/>
        <v>151200</v>
      </c>
      <c r="I74" s="203">
        <f t="shared" si="12"/>
        <v>36000</v>
      </c>
      <c r="J74" s="204">
        <f t="shared" si="12"/>
        <v>84000</v>
      </c>
      <c r="K74" s="203">
        <f t="shared" si="12"/>
        <v>72000</v>
      </c>
      <c r="L74" s="203">
        <f t="shared" si="12"/>
        <v>36000</v>
      </c>
      <c r="M74" s="204">
        <f t="shared" si="12"/>
        <v>573400</v>
      </c>
      <c r="N74" s="203">
        <f t="shared" si="12"/>
        <v>387600</v>
      </c>
      <c r="O74" s="203">
        <f t="shared" si="12"/>
        <v>99600</v>
      </c>
      <c r="P74" s="204">
        <f t="shared" si="12"/>
        <v>310600</v>
      </c>
      <c r="Q74" s="410">
        <f t="shared" si="10"/>
        <v>2550800</v>
      </c>
      <c r="R74" s="413" t="s">
        <v>139</v>
      </c>
      <c r="S74" s="85"/>
    </row>
    <row r="75" spans="1:19" ht="13.5" thickTop="1">
      <c r="B75" s="6"/>
      <c r="C75" s="145"/>
      <c r="D75" s="183" t="s">
        <v>210</v>
      </c>
      <c r="E75" s="44">
        <f>SUM(E72:E74)+IF('CASH FLOW'!$R$2=1,SUM('New Bookings Forecast'!E69:E71),0)</f>
        <v>661800</v>
      </c>
      <c r="F75" s="44">
        <f>SUM(F72:F74)+IF('CASH FLOW'!$R$2=1,SUM('New Bookings Forecast'!F69:F71),0)</f>
        <v>479200</v>
      </c>
      <c r="G75" s="205">
        <f>SUM(G72:G74)+IF('CASH FLOW'!$R$2=1,SUM('New Bookings Forecast'!G69:G71),0)</f>
        <v>325600</v>
      </c>
      <c r="H75" s="44">
        <f>SUM(H72:H74)+IF('CASH FLOW'!$R$2=1,SUM('New Bookings Forecast'!H69:H71),0)</f>
        <v>505200</v>
      </c>
      <c r="I75" s="44">
        <f>SUM(I72:I74)+IF('CASH FLOW'!$R$2=1,SUM('New Bookings Forecast'!I69:I71),0)</f>
        <v>254426</v>
      </c>
      <c r="J75" s="205">
        <f>SUM(J72:J74)+IF('CASH FLOW'!$R$2=1,SUM('New Bookings Forecast'!J69:J71),0)</f>
        <v>258500</v>
      </c>
      <c r="K75" s="44">
        <f>SUM(K72:K74)+IF('CASH FLOW'!$R$2=1,SUM('New Bookings Forecast'!K69:K71),0)</f>
        <v>306600</v>
      </c>
      <c r="L75" s="44">
        <f>SUM(L72:L74)+IF('CASH FLOW'!$R$2=1,SUM('New Bookings Forecast'!L69:L71),0)</f>
        <v>111000</v>
      </c>
      <c r="M75" s="205">
        <f>SUM(M72:M74)+IF('CASH FLOW'!$R$2=1,SUM('New Bookings Forecast'!M69:M71),0)</f>
        <v>790000</v>
      </c>
      <c r="N75" s="44">
        <f>SUM(N72:N74)+IF('CASH FLOW'!$R$2=1,SUM('New Bookings Forecast'!N69:N71),0)</f>
        <v>612600</v>
      </c>
      <c r="O75" s="44">
        <f>SUM(O72:O74)+IF('CASH FLOW'!$R$2=1,SUM('New Bookings Forecast'!O69:O71),0)</f>
        <v>274200</v>
      </c>
      <c r="P75" s="205">
        <f>SUM(P72:P74)+IF('CASH FLOW'!$R$2=1,SUM('New Bookings Forecast'!P69:P71),0)</f>
        <v>792985</v>
      </c>
      <c r="Q75" s="411">
        <f>SUM(Q72:Q74)+IF('CASH FLOW'!$R$2=1,SUM('New Bookings Forecast'!Q69:Q71),0)</f>
        <v>5372111</v>
      </c>
    </row>
    <row r="76" spans="1:19">
      <c r="A76" s="183"/>
      <c r="B76" s="6"/>
      <c r="C76" s="145"/>
      <c r="D76" s="99"/>
      <c r="E76" s="44"/>
      <c r="F76" s="233" t="s">
        <v>340</v>
      </c>
      <c r="G76" s="89">
        <f>SUM(E70:G70)</f>
        <v>0</v>
      </c>
      <c r="H76" s="44"/>
      <c r="I76" s="233" t="s">
        <v>340</v>
      </c>
      <c r="J76" s="89">
        <f>SUM(H70:J70)</f>
        <v>0</v>
      </c>
      <c r="K76" s="44"/>
      <c r="L76" s="233" t="s">
        <v>340</v>
      </c>
      <c r="M76" s="89">
        <f>SUM(K70:M70)</f>
        <v>0</v>
      </c>
      <c r="N76" s="44"/>
      <c r="O76" s="233" t="s">
        <v>340</v>
      </c>
      <c r="P76" s="89">
        <f>SUM(N70:P70)</f>
        <v>0</v>
      </c>
      <c r="Q76" s="464"/>
    </row>
    <row r="77" spans="1:19">
      <c r="F77" s="233" t="s">
        <v>147</v>
      </c>
      <c r="G77" s="89">
        <f>SUM(E72:G72)+SUM(E74:G74)+SUM(E69:G69)</f>
        <v>1036600</v>
      </c>
      <c r="I77" s="233" t="s">
        <v>147</v>
      </c>
      <c r="J77" s="89">
        <f>SUM(H72:J72)+SUM(H74:J74)+SUM(H69:J69)</f>
        <v>568126</v>
      </c>
      <c r="L77" s="233" t="s">
        <v>147</v>
      </c>
      <c r="M77" s="89">
        <f>SUM(K72:M72)+SUM(K74:M74)+SUM(K69:M69)</f>
        <v>832600</v>
      </c>
      <c r="O77" s="233" t="s">
        <v>147</v>
      </c>
      <c r="P77" s="89">
        <f>SUM(N72:P72)+SUM(N74:P74)+SUM(N69:P69)</f>
        <v>1279785</v>
      </c>
    </row>
    <row r="78" spans="1:19">
      <c r="A78" s="183"/>
      <c r="B78" s="6"/>
      <c r="C78" s="145"/>
      <c r="F78" s="360" t="s">
        <v>148</v>
      </c>
      <c r="G78" s="354">
        <f>SUM(E73:G73)+SUM(E71:G71)</f>
        <v>430000</v>
      </c>
      <c r="H78" s="239"/>
      <c r="I78" s="360" t="s">
        <v>148</v>
      </c>
      <c r="J78" s="354">
        <f>SUM(H73:J73)+SUM(H71:J71)</f>
        <v>450000</v>
      </c>
      <c r="K78" s="239"/>
      <c r="L78" s="360" t="s">
        <v>148</v>
      </c>
      <c r="M78" s="354">
        <f>SUM(K73:M73)+SUM(K71:M71)</f>
        <v>375000</v>
      </c>
      <c r="N78" s="239"/>
      <c r="O78" s="360" t="s">
        <v>148</v>
      </c>
      <c r="P78" s="354">
        <f>SUM(N73:P73)+SUM(N71:P71)</f>
        <v>400000</v>
      </c>
    </row>
    <row r="79" spans="1:19" ht="13.5" thickBot="1">
      <c r="A79" s="183"/>
      <c r="B79" s="6"/>
      <c r="C79" s="210"/>
      <c r="E79" s="239"/>
      <c r="F79" s="353" t="s">
        <v>150</v>
      </c>
      <c r="G79" s="392">
        <f>G77+G78</f>
        <v>1466600</v>
      </c>
      <c r="H79" s="239"/>
      <c r="I79" s="353" t="s">
        <v>150</v>
      </c>
      <c r="J79" s="392">
        <f>J77+J78</f>
        <v>1018126</v>
      </c>
      <c r="K79" s="239"/>
      <c r="L79" s="353" t="s">
        <v>150</v>
      </c>
      <c r="M79" s="392">
        <f>M77+M78</f>
        <v>1207600</v>
      </c>
      <c r="N79" s="239"/>
      <c r="O79" s="353" t="s">
        <v>150</v>
      </c>
      <c r="P79" s="392">
        <f>P77+P78</f>
        <v>1679785</v>
      </c>
      <c r="Q79" s="573">
        <v>2008</v>
      </c>
      <c r="R79" s="574">
        <v>2009</v>
      </c>
      <c r="S79" s="575" t="s">
        <v>209</v>
      </c>
    </row>
    <row r="80" spans="1:19">
      <c r="A80" s="183"/>
      <c r="B80" s="6"/>
      <c r="C80" s="210"/>
      <c r="E80" s="448" t="s">
        <v>306</v>
      </c>
      <c r="F80" s="449"/>
      <c r="G80" s="558">
        <v>866945</v>
      </c>
      <c r="H80" s="448"/>
      <c r="I80" s="449"/>
      <c r="J80" s="558">
        <v>521496</v>
      </c>
      <c r="K80" s="448"/>
      <c r="L80" s="449"/>
      <c r="M80" s="558">
        <v>691777</v>
      </c>
      <c r="N80" s="448"/>
      <c r="O80" s="449"/>
      <c r="P80" s="558">
        <v>909000</v>
      </c>
      <c r="Q80" s="556">
        <f>P80+M80+J80+G80</f>
        <v>2989218</v>
      </c>
      <c r="R80" s="557">
        <f>P79+M79+J79+G79</f>
        <v>5372111</v>
      </c>
      <c r="S80" s="576">
        <f>(R80-Q80)/Q80</f>
        <v>0.79716266930013135</v>
      </c>
    </row>
    <row r="84" spans="1:19">
      <c r="E84" s="355"/>
      <c r="F84" s="356"/>
      <c r="G84" s="391"/>
      <c r="H84" s="357"/>
      <c r="I84" s="357"/>
      <c r="J84" s="391"/>
      <c r="K84" s="357"/>
      <c r="L84" s="357"/>
      <c r="M84" s="391"/>
      <c r="N84" s="357"/>
      <c r="O84" s="357"/>
      <c r="P84" s="391"/>
      <c r="Q84" s="358"/>
      <c r="R84" s="358"/>
      <c r="S84" s="359"/>
    </row>
    <row r="85" spans="1:19">
      <c r="E85" s="250" t="s">
        <v>161</v>
      </c>
      <c r="F85" s="393" t="s">
        <v>158</v>
      </c>
      <c r="G85" s="394" t="s">
        <v>159</v>
      </c>
      <c r="H85" s="235" t="s">
        <v>160</v>
      </c>
      <c r="I85" s="456" t="s">
        <v>150</v>
      </c>
      <c r="J85" s="391"/>
      <c r="K85" s="357"/>
      <c r="L85" s="357"/>
      <c r="M85" s="391"/>
      <c r="N85" s="357"/>
      <c r="O85" s="357"/>
      <c r="P85" s="391"/>
      <c r="Q85" s="358"/>
      <c r="R85" s="358"/>
      <c r="S85" s="359"/>
    </row>
    <row r="86" spans="1:19">
      <c r="D86" s="172" t="s">
        <v>212</v>
      </c>
      <c r="E86" s="395">
        <f>SUM(E72:G72)</f>
        <v>236200</v>
      </c>
      <c r="F86" s="395">
        <f>SUM(H72:J72)</f>
        <v>296926</v>
      </c>
      <c r="G86" s="395">
        <f>SUM(K72:M72)</f>
        <v>151200</v>
      </c>
      <c r="H86" s="396">
        <f>SUM(N72:P72)</f>
        <v>481985</v>
      </c>
      <c r="I86" s="457">
        <f>SUM(E86:H86)</f>
        <v>1166311</v>
      </c>
      <c r="J86" s="391"/>
      <c r="K86" s="357"/>
      <c r="L86" s="357"/>
      <c r="M86" s="391"/>
      <c r="N86" s="357"/>
      <c r="O86" s="357"/>
      <c r="P86" s="391"/>
      <c r="Q86" s="358"/>
      <c r="R86" s="358"/>
      <c r="S86" s="359"/>
    </row>
    <row r="87" spans="1:19">
      <c r="D87" s="172" t="s">
        <v>140</v>
      </c>
      <c r="E87" s="395">
        <f>SUM(E73:G73)</f>
        <v>430000</v>
      </c>
      <c r="F87" s="395">
        <f>SUM(H73:J73)</f>
        <v>450000</v>
      </c>
      <c r="G87" s="395">
        <f>SUM(K73:M73)</f>
        <v>375000</v>
      </c>
      <c r="H87" s="396">
        <f>SUM(N73:P73)</f>
        <v>400000</v>
      </c>
      <c r="I87" s="457">
        <f>SUM(E87:H87)</f>
        <v>1655000</v>
      </c>
      <c r="J87" s="391"/>
      <c r="K87" s="357"/>
      <c r="L87" s="357"/>
      <c r="M87" s="391"/>
      <c r="N87" s="357"/>
      <c r="O87" s="357"/>
      <c r="P87" s="391"/>
      <c r="Q87" s="358"/>
      <c r="R87" s="358"/>
      <c r="S87" s="359"/>
    </row>
    <row r="88" spans="1:19" ht="13.5" thickBot="1">
      <c r="C88" s="85"/>
      <c r="D88" s="188" t="s">
        <v>139</v>
      </c>
      <c r="E88" s="397">
        <f>SUM(E74:G74)</f>
        <v>800400</v>
      </c>
      <c r="F88" s="397">
        <f>SUM(H74:J74)</f>
        <v>271200</v>
      </c>
      <c r="G88" s="397">
        <f>SUM(K74:M74)</f>
        <v>681400</v>
      </c>
      <c r="H88" s="398">
        <f>SUM(N74:P74)</f>
        <v>797800</v>
      </c>
      <c r="I88" s="458">
        <f>SUM(E88:H88)</f>
        <v>2550800</v>
      </c>
      <c r="J88" s="391"/>
      <c r="K88" s="357"/>
      <c r="L88" s="357"/>
      <c r="M88" s="391"/>
      <c r="N88" s="357"/>
      <c r="O88" s="357"/>
      <c r="P88" s="391"/>
      <c r="Q88" s="358"/>
      <c r="R88" s="358"/>
      <c r="S88" s="359"/>
    </row>
    <row r="89" spans="1:19" ht="13.5" thickTop="1">
      <c r="D89" s="183" t="s">
        <v>210</v>
      </c>
      <c r="E89" s="399">
        <f>SUM(E86:E88)</f>
        <v>1466600</v>
      </c>
      <c r="F89" s="400">
        <f>SUM(F86:F88)</f>
        <v>1018126</v>
      </c>
      <c r="G89" s="400">
        <f>SUM(G86:G88)</f>
        <v>1207600</v>
      </c>
      <c r="H89" s="454">
        <f>SUM(H86:H88)</f>
        <v>1679785</v>
      </c>
      <c r="I89" s="459">
        <f>SUM(I86:I88)</f>
        <v>5372111</v>
      </c>
      <c r="J89" s="391"/>
      <c r="K89" s="357"/>
      <c r="L89" s="357"/>
      <c r="M89" s="391"/>
      <c r="N89" s="357"/>
      <c r="O89" s="357"/>
      <c r="P89" s="391"/>
      <c r="Q89" s="358"/>
      <c r="R89" s="358"/>
      <c r="S89" s="359"/>
    </row>
    <row r="90" spans="1:19" ht="9.75" customHeight="1">
      <c r="D90" s="183"/>
      <c r="E90" s="399"/>
      <c r="F90" s="407"/>
      <c r="G90" s="407"/>
      <c r="H90" s="407"/>
      <c r="I90" s="460"/>
      <c r="J90" s="391"/>
      <c r="K90" s="357"/>
      <c r="L90" s="357"/>
      <c r="M90" s="391"/>
      <c r="N90" s="357"/>
      <c r="O90" s="357"/>
      <c r="P90" s="391"/>
      <c r="Q90" s="358"/>
      <c r="R90" s="358"/>
      <c r="S90" s="359"/>
    </row>
    <row r="91" spans="1:19">
      <c r="D91" s="183" t="s">
        <v>139</v>
      </c>
      <c r="E91" s="212">
        <f>COUNTIF($D$24:$D$65,"JAN")+COUNTIF($D$24:$D$65,"FEB")+COUNTIF($D$24:$D$65,"MAR")</f>
        <v>13</v>
      </c>
      <c r="F91" s="212">
        <f>COUNTIF($D$24:$D$65,"APR")+COUNTIF($D$24:$D$65,"MAY")+COUNTIF($D$24:$D$65,"JUN")</f>
        <v>7</v>
      </c>
      <c r="G91" s="212">
        <f>COUNTIF($D$24:$D$65,"JUL")+COUNTIF($D$24:$D$65,"AUG")+COUNTIF($D$24:$D$65,"SEP")</f>
        <v>11</v>
      </c>
      <c r="H91" s="212">
        <f>COUNTIF($D$24:$D$65,"OCT")+COUNTIF($D$24:$D$65,"NOV")+COUNTIF($D$24:$D$65,"DEC")</f>
        <v>10</v>
      </c>
      <c r="I91" s="461">
        <f>SUM(E91:H91)</f>
        <v>41</v>
      </c>
      <c r="J91" s="391"/>
      <c r="K91" s="357"/>
      <c r="L91" s="357"/>
      <c r="M91" s="391"/>
      <c r="N91" s="357"/>
      <c r="O91" s="357"/>
      <c r="P91" s="391"/>
      <c r="Q91" s="358"/>
      <c r="R91" s="358"/>
      <c r="S91" s="359"/>
    </row>
    <row r="92" spans="1:19" ht="12.75" customHeight="1">
      <c r="E92" s="355"/>
      <c r="F92" s="356"/>
      <c r="G92" s="391"/>
      <c r="H92" s="357"/>
      <c r="I92" s="462"/>
      <c r="J92" s="403" t="s">
        <v>209</v>
      </c>
      <c r="K92" s="357"/>
      <c r="L92" s="357"/>
      <c r="M92" s="391"/>
      <c r="N92" s="357"/>
      <c r="O92" s="357"/>
      <c r="P92" s="391"/>
      <c r="Q92" s="358"/>
      <c r="R92" s="358"/>
      <c r="S92" s="359"/>
    </row>
    <row r="93" spans="1:19">
      <c r="D93" s="183" t="s">
        <v>313</v>
      </c>
      <c r="E93" s="401">
        <f>G80</f>
        <v>866945</v>
      </c>
      <c r="F93" s="401">
        <f>J80</f>
        <v>521496</v>
      </c>
      <c r="G93" s="402">
        <f>M80</f>
        <v>691777</v>
      </c>
      <c r="H93" s="455">
        <f>P80</f>
        <v>909000</v>
      </c>
      <c r="I93" s="463">
        <f>SUM(E93:H93)</f>
        <v>2989218</v>
      </c>
      <c r="J93" s="403">
        <f>(I89-I93)/I93</f>
        <v>0.79716266930013135</v>
      </c>
      <c r="K93" s="357"/>
      <c r="L93" s="357"/>
      <c r="M93" s="391"/>
      <c r="N93" s="357"/>
      <c r="O93" s="357"/>
      <c r="P93" s="391"/>
      <c r="Q93" s="358"/>
      <c r="R93" s="358"/>
      <c r="S93" s="359"/>
    </row>
    <row r="94" spans="1:19" ht="31.5" customHeight="1"/>
    <row r="95" spans="1:19" ht="18.75" thickBot="1">
      <c r="A95" s="77" t="s">
        <v>142</v>
      </c>
      <c r="B95" s="421"/>
      <c r="D95" s="221">
        <v>39783</v>
      </c>
      <c r="E95" s="215" t="str">
        <f>E2</f>
        <v>JAN</v>
      </c>
      <c r="F95" s="87" t="str">
        <f t="shared" ref="F95:P95" si="13">F2</f>
        <v>FEB</v>
      </c>
      <c r="G95" s="88" t="str">
        <f t="shared" si="13"/>
        <v>MAR</v>
      </c>
      <c r="H95" s="87" t="str">
        <f t="shared" si="13"/>
        <v>APR</v>
      </c>
      <c r="I95" s="87" t="str">
        <f t="shared" si="13"/>
        <v>MAY</v>
      </c>
      <c r="J95" s="88" t="str">
        <f t="shared" si="13"/>
        <v>JUN</v>
      </c>
      <c r="K95" s="87" t="str">
        <f t="shared" si="13"/>
        <v>JUL</v>
      </c>
      <c r="L95" s="87" t="str">
        <f t="shared" si="13"/>
        <v>AUG</v>
      </c>
      <c r="M95" s="88" t="str">
        <f t="shared" si="13"/>
        <v>SEP</v>
      </c>
      <c r="N95" s="87" t="str">
        <f t="shared" si="13"/>
        <v>OCT</v>
      </c>
      <c r="O95" s="87" t="str">
        <f t="shared" si="13"/>
        <v>NOV</v>
      </c>
      <c r="P95" s="88" t="str">
        <f t="shared" si="13"/>
        <v>DEC</v>
      </c>
      <c r="Q95" s="213" t="s">
        <v>73</v>
      </c>
    </row>
    <row r="96" spans="1:19">
      <c r="A96" s="28" t="s">
        <v>148</v>
      </c>
      <c r="E96" s="216">
        <f>F19</f>
        <v>125000</v>
      </c>
      <c r="F96" s="44">
        <f t="shared" ref="F96:O96" si="14">G19</f>
        <v>140000</v>
      </c>
      <c r="G96" s="89">
        <f t="shared" si="14"/>
        <v>145000</v>
      </c>
      <c r="H96" s="44">
        <f t="shared" si="14"/>
        <v>155000</v>
      </c>
      <c r="I96" s="44">
        <f t="shared" si="14"/>
        <v>150000</v>
      </c>
      <c r="J96" s="89">
        <f t="shared" si="14"/>
        <v>125000</v>
      </c>
      <c r="K96" s="44">
        <f t="shared" si="14"/>
        <v>145000</v>
      </c>
      <c r="L96" s="44">
        <f t="shared" si="14"/>
        <v>125000</v>
      </c>
      <c r="M96" s="89">
        <f t="shared" si="14"/>
        <v>95000</v>
      </c>
      <c r="N96" s="44">
        <f t="shared" si="14"/>
        <v>185000</v>
      </c>
      <c r="O96" s="44">
        <f t="shared" si="14"/>
        <v>195000</v>
      </c>
      <c r="P96" s="89">
        <f>SUM(R3:R18)</f>
        <v>290000</v>
      </c>
      <c r="Q96" s="44">
        <f>SUM(E96:P96)</f>
        <v>1875000</v>
      </c>
      <c r="R96" s="44"/>
    </row>
    <row r="97" spans="1:17" ht="13.5" thickBot="1">
      <c r="A97" s="28" t="s">
        <v>143</v>
      </c>
      <c r="D97" s="212">
        <v>97300</v>
      </c>
      <c r="E97" s="217">
        <f t="shared" ref="E97:P97" si="15">D97+E66/12</f>
        <v>97300</v>
      </c>
      <c r="F97" s="203">
        <f t="shared" si="15"/>
        <v>100300</v>
      </c>
      <c r="G97" s="204">
        <f t="shared" si="15"/>
        <v>122100</v>
      </c>
      <c r="H97" s="203">
        <f t="shared" si="15"/>
        <v>155700</v>
      </c>
      <c r="I97" s="203">
        <f t="shared" si="15"/>
        <v>169300</v>
      </c>
      <c r="J97" s="204">
        <f t="shared" si="15"/>
        <v>179600</v>
      </c>
      <c r="K97" s="203">
        <f t="shared" si="15"/>
        <v>182600</v>
      </c>
      <c r="L97" s="203">
        <f t="shared" si="15"/>
        <v>189600</v>
      </c>
      <c r="M97" s="204">
        <f t="shared" si="15"/>
        <v>195600</v>
      </c>
      <c r="N97" s="203">
        <f t="shared" si="15"/>
        <v>206900</v>
      </c>
      <c r="O97" s="203">
        <f t="shared" si="15"/>
        <v>258383.33333333334</v>
      </c>
      <c r="P97" s="204">
        <f t="shared" si="15"/>
        <v>276383.33333333337</v>
      </c>
      <c r="Q97" s="203">
        <f>SUM(E97:P97)</f>
        <v>2133766.6666666665</v>
      </c>
    </row>
    <row r="98" spans="1:17" ht="13.5" thickTop="1">
      <c r="D98" s="183" t="s">
        <v>145</v>
      </c>
      <c r="E98" s="216">
        <f t="shared" ref="E98:P98" si="16">SUM(E96:E97)</f>
        <v>222300</v>
      </c>
      <c r="F98" s="44">
        <f t="shared" si="16"/>
        <v>240300</v>
      </c>
      <c r="G98" s="89">
        <f t="shared" si="16"/>
        <v>267100</v>
      </c>
      <c r="H98" s="44">
        <f t="shared" si="16"/>
        <v>310700</v>
      </c>
      <c r="I98" s="44">
        <f t="shared" si="16"/>
        <v>319300</v>
      </c>
      <c r="J98" s="89">
        <f t="shared" si="16"/>
        <v>304600</v>
      </c>
      <c r="K98" s="44">
        <f t="shared" si="16"/>
        <v>327600</v>
      </c>
      <c r="L98" s="44">
        <f t="shared" si="16"/>
        <v>314600</v>
      </c>
      <c r="M98" s="89">
        <f t="shared" si="16"/>
        <v>290600</v>
      </c>
      <c r="N98" s="44">
        <f t="shared" si="16"/>
        <v>391900</v>
      </c>
      <c r="O98" s="44">
        <f t="shared" si="16"/>
        <v>453383.33333333337</v>
      </c>
      <c r="P98" s="89">
        <f t="shared" si="16"/>
        <v>566383.33333333337</v>
      </c>
      <c r="Q98" s="44">
        <f>SUM(E98:P98)</f>
        <v>4008766.666666667</v>
      </c>
    </row>
    <row r="99" spans="1:17">
      <c r="D99" s="183"/>
      <c r="E99" s="216"/>
      <c r="F99" s="233" t="s">
        <v>147</v>
      </c>
      <c r="G99" s="89">
        <f>SUM(E97:G97)</f>
        <v>319700</v>
      </c>
      <c r="H99" s="44"/>
      <c r="I99" s="233" t="s">
        <v>147</v>
      </c>
      <c r="J99" s="89">
        <f>SUM(H97:J97)</f>
        <v>504600</v>
      </c>
      <c r="K99" s="44"/>
      <c r="L99" s="233" t="s">
        <v>147</v>
      </c>
      <c r="M99" s="89">
        <f>SUM(K97:M97)</f>
        <v>567800</v>
      </c>
      <c r="N99" s="44"/>
      <c r="O99" s="233" t="s">
        <v>147</v>
      </c>
      <c r="P99" s="89">
        <f>SUM(N97:P97)</f>
        <v>741666.66666666674</v>
      </c>
      <c r="Q99" s="44"/>
    </row>
    <row r="100" spans="1:17">
      <c r="D100" s="183"/>
      <c r="E100" s="216"/>
      <c r="F100" s="360" t="s">
        <v>148</v>
      </c>
      <c r="G100" s="354">
        <f>SUM(E96:G96)</f>
        <v>410000</v>
      </c>
      <c r="H100" s="361"/>
      <c r="I100" s="360" t="s">
        <v>148</v>
      </c>
      <c r="J100" s="354">
        <f>SUM(H96:J96)</f>
        <v>430000</v>
      </c>
      <c r="K100" s="361"/>
      <c r="L100" s="360" t="s">
        <v>148</v>
      </c>
      <c r="M100" s="354">
        <f>SUM(K96:M96)</f>
        <v>365000</v>
      </c>
      <c r="N100" s="361"/>
      <c r="O100" s="360" t="s">
        <v>148</v>
      </c>
      <c r="P100" s="354">
        <f>SUM(N96:P96)</f>
        <v>670000</v>
      </c>
      <c r="Q100" s="44"/>
    </row>
    <row r="101" spans="1:17">
      <c r="E101" s="218"/>
      <c r="F101" s="28" t="s">
        <v>150</v>
      </c>
      <c r="G101" s="89">
        <f>G99+G100</f>
        <v>729700</v>
      </c>
      <c r="I101" s="28" t="s">
        <v>150</v>
      </c>
      <c r="J101" s="89">
        <f>J99+J100</f>
        <v>934600</v>
      </c>
      <c r="L101" s="28" t="s">
        <v>150</v>
      </c>
      <c r="M101" s="89">
        <f>M99+M100</f>
        <v>932800</v>
      </c>
      <c r="O101" s="28" t="s">
        <v>150</v>
      </c>
      <c r="P101" s="89">
        <f>P99+P100</f>
        <v>1411666.6666666667</v>
      </c>
    </row>
    <row r="102" spans="1:17">
      <c r="E102" s="218"/>
      <c r="G102" s="92"/>
      <c r="J102" s="92"/>
      <c r="M102" s="92"/>
      <c r="P102" s="92"/>
    </row>
    <row r="103" spans="1:17">
      <c r="D103" s="183" t="s">
        <v>173</v>
      </c>
      <c r="E103" s="216">
        <f>SUM('CASH FLOW'!D25:D28)</f>
        <v>240995.00000000003</v>
      </c>
      <c r="F103" s="78">
        <f>SUM('CASH FLOW'!E25:E28)</f>
        <v>240995.00000000003</v>
      </c>
      <c r="G103" s="89">
        <f>SUM('CASH FLOW'!F25:F28)</f>
        <v>240995.00000000003</v>
      </c>
      <c r="H103" s="78">
        <f>SUM('CASH FLOW'!G25:G28)</f>
        <v>240995.00000000003</v>
      </c>
      <c r="I103" s="78">
        <f>SUM('CASH FLOW'!H25:H28)</f>
        <v>240995.00000000003</v>
      </c>
      <c r="J103" s="89">
        <f>SUM('CASH FLOW'!I25:I28)</f>
        <v>247845.00000000003</v>
      </c>
      <c r="K103" s="78">
        <f>SUM('CASH FLOW'!J25:J28)</f>
        <v>254695.00000000003</v>
      </c>
      <c r="L103" s="78">
        <f>SUM('CASH FLOW'!K25:K28)</f>
        <v>254695.00000000003</v>
      </c>
      <c r="M103" s="89">
        <f>SUM('CASH FLOW'!L25:L28)</f>
        <v>254695.00000000003</v>
      </c>
      <c r="N103" s="78">
        <f>SUM('CASH FLOW'!M25:M28)</f>
        <v>254695.00000000003</v>
      </c>
      <c r="O103" s="78">
        <f>SUM('CASH FLOW'!N25:N28)</f>
        <v>254695.00000000003</v>
      </c>
      <c r="P103" s="89">
        <f>SUM('CASH FLOW'!O25:O28)</f>
        <v>254695.00000000003</v>
      </c>
      <c r="Q103" s="78">
        <f>SUM(E103:P103)</f>
        <v>2980990.0000000005</v>
      </c>
    </row>
    <row r="104" spans="1:17" ht="13.5" thickBot="1">
      <c r="D104" s="183" t="s">
        <v>174</v>
      </c>
      <c r="E104" s="217">
        <f>SUM('CASH FLOW'!D29:D55)</f>
        <v>138200.66</v>
      </c>
      <c r="F104" s="203">
        <f>SUM('CASH FLOW'!E29:E55)</f>
        <v>193645.86</v>
      </c>
      <c r="G104" s="204">
        <f>SUM('CASH FLOW'!F29:F55)</f>
        <v>190070.715</v>
      </c>
      <c r="H104" s="203">
        <f>SUM('CASH FLOW'!G29:G55)</f>
        <v>203427.23184999998</v>
      </c>
      <c r="I104" s="203">
        <f>SUM('CASH FLOW'!H29:H55)</f>
        <v>184482.00459950001</v>
      </c>
      <c r="J104" s="204">
        <f>SUM('CASH FLOW'!I29:I55)</f>
        <v>174130.74634156501</v>
      </c>
      <c r="K104" s="203">
        <f>SUM('CASH FLOW'!J29:J55)</f>
        <v>192059.70287717355</v>
      </c>
      <c r="L104" s="203">
        <f>SUM('CASH FLOW'!K29:K55)</f>
        <v>170477.9502167076</v>
      </c>
      <c r="M104" s="204">
        <f>SUM('CASH FLOW'!L29:L55)</f>
        <v>166435.40668040953</v>
      </c>
      <c r="N104" s="203">
        <f>SUM('CASH FLOW'!M29:M55)</f>
        <v>231327.94575272288</v>
      </c>
      <c r="O104" s="203">
        <f>SUM('CASH FLOW'!N29:N55)</f>
        <v>246488.8794717594</v>
      </c>
      <c r="P104" s="204">
        <f>SUM('CASH FLOW'!O29:O55)</f>
        <v>190317.80969301448</v>
      </c>
      <c r="Q104" s="203">
        <f>SUM(E104:P104)</f>
        <v>2281064.9124828521</v>
      </c>
    </row>
    <row r="105" spans="1:17" ht="13.5" thickTop="1">
      <c r="D105" s="183" t="s">
        <v>144</v>
      </c>
      <c r="E105" s="219">
        <f>E98-E103-E104</f>
        <v>-156895.66000000003</v>
      </c>
      <c r="F105" s="214">
        <f t="shared" ref="F105:Q105" si="17">F98-F103-F104</f>
        <v>-194340.86000000002</v>
      </c>
      <c r="G105" s="220">
        <f t="shared" si="17"/>
        <v>-163965.71500000003</v>
      </c>
      <c r="H105" s="214">
        <f t="shared" si="17"/>
        <v>-133722.23185000001</v>
      </c>
      <c r="I105" s="214">
        <f t="shared" si="17"/>
        <v>-106177.00459950004</v>
      </c>
      <c r="J105" s="220">
        <f t="shared" si="17"/>
        <v>-117375.74634156504</v>
      </c>
      <c r="K105" s="214">
        <f t="shared" si="17"/>
        <v>-119154.70287717358</v>
      </c>
      <c r="L105" s="214">
        <f t="shared" si="17"/>
        <v>-110572.95021670763</v>
      </c>
      <c r="M105" s="220">
        <f t="shared" si="17"/>
        <v>-130530.40668040956</v>
      </c>
      <c r="N105" s="214">
        <f t="shared" si="17"/>
        <v>-94122.94575272291</v>
      </c>
      <c r="O105" s="214">
        <f t="shared" si="17"/>
        <v>-47800.546138426056</v>
      </c>
      <c r="P105" s="220">
        <f t="shared" si="17"/>
        <v>121370.52364031889</v>
      </c>
      <c r="Q105" s="214">
        <f t="shared" si="17"/>
        <v>-1253288.2458161856</v>
      </c>
    </row>
    <row r="106" spans="1:17">
      <c r="G106" s="220">
        <f>SUM(E105:G105)</f>
        <v>-515202.23500000004</v>
      </c>
      <c r="J106" s="220">
        <f>SUM(H105:J105)</f>
        <v>-357274.98279106512</v>
      </c>
      <c r="M106" s="220">
        <f>SUM(K105:M105)</f>
        <v>-360258.05977429077</v>
      </c>
      <c r="P106" s="220">
        <f>SUM(N105:P105)</f>
        <v>-20552.968250830076</v>
      </c>
    </row>
  </sheetData>
  <mergeCells count="3">
    <mergeCell ref="E1:P1"/>
    <mergeCell ref="S12:U12"/>
    <mergeCell ref="E22:P22"/>
  </mergeCells>
  <phoneticPr fontId="2" type="noConversion"/>
  <pageMargins left="0.5" right="0.5" top="1" bottom="1" header="0.5" footer="0.5"/>
  <pageSetup scale="6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NOTES</vt:lpstr>
      <vt:lpstr>CY09 Joint Opr Plan</vt:lpstr>
      <vt:lpstr>Actify Budget</vt:lpstr>
      <vt:lpstr>CASH FLOW</vt:lpstr>
      <vt:lpstr>Headcount</vt:lpstr>
      <vt:lpstr>Marketing</vt:lpstr>
      <vt:lpstr>Subscriptions</vt:lpstr>
      <vt:lpstr>ACTIFY</vt:lpstr>
      <vt:lpstr>New Bookings Forecast</vt:lpstr>
      <vt:lpstr>ProForma-2009</vt:lpstr>
      <vt:lpstr>ProForma-5 Year - Not Finished</vt:lpstr>
      <vt:lpstr>'CASH FLOW'!Print_Area</vt:lpstr>
      <vt:lpstr>Headcount!Print_Area</vt:lpstr>
      <vt:lpstr>Marketing!Print_Area</vt:lpstr>
      <vt:lpstr>'New Bookings Forecast'!Print_Area</vt:lpstr>
      <vt:lpstr>'ProForma-2009'!Print_Area</vt:lpstr>
      <vt:lpstr>'ProForma-5 Year - Not Finished'!Print_Area</vt:lpstr>
      <vt:lpstr>Subscriptions!Print_Area</vt:lpstr>
      <vt:lpstr>'CASH FLOW'!Print_Titles</vt:lpstr>
    </vt:vector>
  </TitlesOfParts>
  <Company>Aras Corp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schroer</dc:creator>
  <cp:lastModifiedBy> </cp:lastModifiedBy>
  <cp:lastPrinted>2008-11-04T21:56:13Z</cp:lastPrinted>
  <dcterms:created xsi:type="dcterms:W3CDTF">2005-11-22T19:21:07Z</dcterms:created>
  <dcterms:modified xsi:type="dcterms:W3CDTF">2008-11-13T00:30:43Z</dcterms:modified>
</cp:coreProperties>
</file>