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Projects\Dewatering\"/>
    </mc:Choice>
  </mc:AlternateContent>
  <xr:revisionPtr revIDLastSave="0" documentId="13_ncr:1_{429FA6AE-D081-481C-9BAA-CC6C6EBB87EE}" xr6:coauthVersionLast="47" xr6:coauthVersionMax="47" xr10:uidLastSave="{00000000-0000-0000-0000-000000000000}"/>
  <bookViews>
    <workbookView xWindow="-120" yWindow="-120" windowWidth="29040" windowHeight="15720" tabRatio="500" xr2:uid="{00000000-000D-0000-FFFF-FFFF00000000}"/>
  </bookViews>
  <sheets>
    <sheet name="02_18_2025_Standard_Nam" sheetId="3" r:id="rId1"/>
    <sheet name="03_21_2025" sheetId="4" r:id="rId2"/>
    <sheet name="03_18_2025" sheetId="5" r:id="rId3"/>
    <sheet name="05_28_2020" sheetId="1" r:id="rId4"/>
    <sheet name="05_21_2020" sheetId="2" r:id="rId5"/>
  </sheets>
  <definedNames>
    <definedName name="_xleta.AVERAGE" hidden="1">#NAME?</definedName>
    <definedName name="_xlnm.Print_Area" localSheetId="4">'05_21_2020'!$U$5:$AK$63</definedName>
    <definedName name="_xlnm.Print_Area" localSheetId="3">'05_28_2020'!$U$5:$AL$62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3" i="3" l="1"/>
  <c r="C102" i="5"/>
  <c r="B102" i="5"/>
  <c r="C100" i="5"/>
  <c r="B99" i="5"/>
  <c r="F100" i="5" s="1"/>
  <c r="B98" i="5"/>
  <c r="F99" i="5" s="1"/>
  <c r="G99" i="5" s="1"/>
  <c r="E97" i="5"/>
  <c r="C97" i="5"/>
  <c r="O92" i="5"/>
  <c r="N92" i="5"/>
  <c r="M92" i="5"/>
  <c r="I92" i="5"/>
  <c r="H92" i="5"/>
  <c r="J92" i="5" s="1"/>
  <c r="O91" i="5"/>
  <c r="N91" i="5"/>
  <c r="M91" i="5"/>
  <c r="J91" i="5"/>
  <c r="I91" i="5"/>
  <c r="H91" i="5"/>
  <c r="I90" i="5"/>
  <c r="H90" i="5"/>
  <c r="J90" i="5" s="1"/>
  <c r="O89" i="5"/>
  <c r="N89" i="5"/>
  <c r="M89" i="5"/>
  <c r="I89" i="5"/>
  <c r="H89" i="5"/>
  <c r="J89" i="5" s="1"/>
  <c r="N88" i="5"/>
  <c r="M88" i="5"/>
  <c r="O88" i="5" s="1"/>
  <c r="J88" i="5"/>
  <c r="I88" i="5"/>
  <c r="H88" i="5"/>
  <c r="O87" i="5"/>
  <c r="N87" i="5"/>
  <c r="M87" i="5"/>
  <c r="I87" i="5"/>
  <c r="J87" i="5" s="1"/>
  <c r="H87" i="5"/>
  <c r="O86" i="5"/>
  <c r="N86" i="5"/>
  <c r="M86" i="5"/>
  <c r="I86" i="5"/>
  <c r="H86" i="5"/>
  <c r="J86" i="5" s="1"/>
  <c r="N85" i="5"/>
  <c r="M85" i="5"/>
  <c r="O85" i="5" s="1"/>
  <c r="I85" i="5"/>
  <c r="H85" i="5"/>
  <c r="J85" i="5" s="1"/>
  <c r="O82" i="5"/>
  <c r="P82" i="5" s="1"/>
  <c r="N82" i="5"/>
  <c r="K82" i="5"/>
  <c r="J82" i="5"/>
  <c r="I82" i="5"/>
  <c r="J81" i="5"/>
  <c r="K81" i="5" s="1"/>
  <c r="I81" i="5"/>
  <c r="O80" i="5"/>
  <c r="P80" i="5" s="1"/>
  <c r="N80" i="5"/>
  <c r="J80" i="5"/>
  <c r="I80" i="5"/>
  <c r="K80" i="5" s="1"/>
  <c r="O79" i="5"/>
  <c r="P79" i="5" s="1"/>
  <c r="N79" i="5"/>
  <c r="J79" i="5"/>
  <c r="I79" i="5"/>
  <c r="K79" i="5" s="1"/>
  <c r="P78" i="5"/>
  <c r="O78" i="5"/>
  <c r="N78" i="5"/>
  <c r="J78" i="5"/>
  <c r="I78" i="5"/>
  <c r="K78" i="5" s="1"/>
  <c r="P77" i="5"/>
  <c r="O77" i="5"/>
  <c r="N77" i="5"/>
  <c r="J77" i="5"/>
  <c r="K77" i="5" s="1"/>
  <c r="I77" i="5"/>
  <c r="O76" i="5"/>
  <c r="P76" i="5" s="1"/>
  <c r="N76" i="5"/>
  <c r="K76" i="5"/>
  <c r="J76" i="5"/>
  <c r="I76" i="5"/>
  <c r="O69" i="5"/>
  <c r="N69" i="5"/>
  <c r="I69" i="5"/>
  <c r="H69" i="5"/>
  <c r="J69" i="5" s="1"/>
  <c r="AV97" i="5" s="1"/>
  <c r="O68" i="5"/>
  <c r="N68" i="5"/>
  <c r="M68" i="5"/>
  <c r="I68" i="5"/>
  <c r="H68" i="5"/>
  <c r="J68" i="5" s="1"/>
  <c r="AT97" i="5" s="1"/>
  <c r="H13" i="5" s="1"/>
  <c r="AI24" i="5" s="1"/>
  <c r="I67" i="5"/>
  <c r="H67" i="5"/>
  <c r="J67" i="5" s="1"/>
  <c r="D102" i="5" s="1"/>
  <c r="N66" i="5"/>
  <c r="M66" i="5"/>
  <c r="O66" i="5" s="1"/>
  <c r="I66" i="5"/>
  <c r="H66" i="5"/>
  <c r="J66" i="5" s="1"/>
  <c r="D101" i="5" s="1"/>
  <c r="O65" i="5"/>
  <c r="N65" i="5"/>
  <c r="M65" i="5"/>
  <c r="I65" i="5"/>
  <c r="J65" i="5" s="1"/>
  <c r="D100" i="5" s="1"/>
  <c r="AF107" i="5" s="1"/>
  <c r="H65" i="5"/>
  <c r="N64" i="5"/>
  <c r="M64" i="5"/>
  <c r="O64" i="5" s="1"/>
  <c r="I64" i="5"/>
  <c r="H64" i="5"/>
  <c r="J64" i="5" s="1"/>
  <c r="D99" i="5" s="1"/>
  <c r="N63" i="5"/>
  <c r="O63" i="5" s="1"/>
  <c r="M63" i="5"/>
  <c r="I63" i="5"/>
  <c r="H63" i="5"/>
  <c r="J63" i="5" s="1"/>
  <c r="O62" i="5"/>
  <c r="N62" i="5"/>
  <c r="M62" i="5"/>
  <c r="I62" i="5"/>
  <c r="H62" i="5"/>
  <c r="J62" i="5" s="1"/>
  <c r="D97" i="5" s="1"/>
  <c r="P57" i="5"/>
  <c r="O57" i="5"/>
  <c r="N57" i="5"/>
  <c r="J57" i="5"/>
  <c r="K57" i="5" s="1"/>
  <c r="AU97" i="5" s="1"/>
  <c r="H14" i="5" s="1"/>
  <c r="AI25" i="5" s="1"/>
  <c r="I57" i="5"/>
  <c r="O56" i="5"/>
  <c r="P56" i="5" s="1"/>
  <c r="N56" i="5"/>
  <c r="K56" i="5"/>
  <c r="E102" i="5" s="1"/>
  <c r="J56" i="5"/>
  <c r="I56" i="5"/>
  <c r="P55" i="5"/>
  <c r="O55" i="5"/>
  <c r="N55" i="5"/>
  <c r="J55" i="5"/>
  <c r="I55" i="5"/>
  <c r="K55" i="5" s="1"/>
  <c r="E101" i="5" s="1"/>
  <c r="P54" i="5"/>
  <c r="O54" i="5"/>
  <c r="N54" i="5"/>
  <c r="K54" i="5"/>
  <c r="E100" i="5" s="1"/>
  <c r="J54" i="5"/>
  <c r="I54" i="5"/>
  <c r="O53" i="5"/>
  <c r="P53" i="5" s="1"/>
  <c r="N53" i="5"/>
  <c r="J53" i="5"/>
  <c r="K53" i="5" s="1"/>
  <c r="E99" i="5" s="1"/>
  <c r="I53" i="5"/>
  <c r="O52" i="5"/>
  <c r="N52" i="5"/>
  <c r="P52" i="5" s="1"/>
  <c r="J52" i="5"/>
  <c r="I52" i="5"/>
  <c r="K52" i="5" s="1"/>
  <c r="E98" i="5" s="1"/>
  <c r="P51" i="5"/>
  <c r="O51" i="5"/>
  <c r="N51" i="5"/>
  <c r="K51" i="5"/>
  <c r="J51" i="5"/>
  <c r="I51" i="5"/>
  <c r="B46" i="5"/>
  <c r="C45" i="5"/>
  <c r="B101" i="5" s="1"/>
  <c r="F102" i="5" s="1"/>
  <c r="G102" i="5" s="1"/>
  <c r="B45" i="5"/>
  <c r="C101" i="5" s="1"/>
  <c r="C44" i="5"/>
  <c r="B100" i="5" s="1"/>
  <c r="F101" i="5" s="1"/>
  <c r="G101" i="5" s="1"/>
  <c r="I102" i="5" s="1"/>
  <c r="B44" i="5"/>
  <c r="C43" i="5"/>
  <c r="B43" i="5"/>
  <c r="C99" i="5" s="1"/>
  <c r="R100" i="5" s="1"/>
  <c r="S100" i="5" s="1"/>
  <c r="C42" i="5"/>
  <c r="B42" i="5"/>
  <c r="C98" i="5" s="1"/>
  <c r="R99" i="5" s="1"/>
  <c r="S99" i="5" s="1"/>
  <c r="U99" i="5" s="1"/>
  <c r="C41" i="5"/>
  <c r="B97" i="5" s="1"/>
  <c r="B41" i="5"/>
  <c r="P38" i="5"/>
  <c r="O38" i="5"/>
  <c r="Q38" i="5" s="1"/>
  <c r="H38" i="5"/>
  <c r="I38" i="5" s="1"/>
  <c r="A102" i="5" s="1"/>
  <c r="C38" i="5"/>
  <c r="E38" i="5" s="1"/>
  <c r="P37" i="5"/>
  <c r="Q37" i="5" s="1"/>
  <c r="O37" i="5"/>
  <c r="H37" i="5"/>
  <c r="I37" i="5" s="1"/>
  <c r="A101" i="5" s="1"/>
  <c r="C37" i="5"/>
  <c r="P36" i="5"/>
  <c r="O36" i="5"/>
  <c r="Q36" i="5" s="1"/>
  <c r="H36" i="5"/>
  <c r="C36" i="5"/>
  <c r="E36" i="5" s="1"/>
  <c r="P35" i="5"/>
  <c r="O35" i="5"/>
  <c r="Q35" i="5" s="1"/>
  <c r="H35" i="5"/>
  <c r="I35" i="5" s="1"/>
  <c r="A99" i="5" s="1"/>
  <c r="E35" i="5"/>
  <c r="C35" i="5"/>
  <c r="P34" i="5"/>
  <c r="Q34" i="5" s="1"/>
  <c r="O34" i="5"/>
  <c r="H34" i="5"/>
  <c r="I34" i="5" s="1"/>
  <c r="A98" i="5" s="1"/>
  <c r="E34" i="5"/>
  <c r="C34" i="5"/>
  <c r="P33" i="5"/>
  <c r="O33" i="5"/>
  <c r="H33" i="5"/>
  <c r="I33" i="5" s="1"/>
  <c r="A97" i="5" s="1"/>
  <c r="C33" i="5"/>
  <c r="Q33" i="5" s="1"/>
  <c r="AI22" i="5"/>
  <c r="B22" i="5"/>
  <c r="B24" i="5" s="1"/>
  <c r="AI21" i="5"/>
  <c r="B19" i="5"/>
  <c r="E37" i="5" s="1"/>
  <c r="D15" i="5"/>
  <c r="H12" i="5" s="1"/>
  <c r="AI23" i="5" s="1"/>
  <c r="X13" i="5"/>
  <c r="D12" i="5"/>
  <c r="J11" i="5"/>
  <c r="I11" i="5"/>
  <c r="H11" i="5"/>
  <c r="D11" i="5"/>
  <c r="D13" i="5" s="1"/>
  <c r="D14" i="5" s="1"/>
  <c r="H10" i="5"/>
  <c r="D10" i="5"/>
  <c r="D9" i="5"/>
  <c r="G8" i="5"/>
  <c r="D8" i="5"/>
  <c r="G103" i="4"/>
  <c r="F103" i="4"/>
  <c r="C103" i="4"/>
  <c r="A103" i="4"/>
  <c r="F102" i="4"/>
  <c r="G102" i="4" s="1"/>
  <c r="I103" i="4" s="1"/>
  <c r="C102" i="4"/>
  <c r="R103" i="4" s="1"/>
  <c r="S103" i="4" s="1"/>
  <c r="U103" i="4" s="1"/>
  <c r="I101" i="4"/>
  <c r="G101" i="4"/>
  <c r="F101" i="4"/>
  <c r="G100" i="4"/>
  <c r="F100" i="4"/>
  <c r="G99" i="4"/>
  <c r="I100" i="4" s="1"/>
  <c r="F99" i="4"/>
  <c r="G98" i="4"/>
  <c r="F98" i="4"/>
  <c r="AT97" i="4"/>
  <c r="H13" i="4" s="1"/>
  <c r="AI24" i="4" s="1"/>
  <c r="AS97" i="4"/>
  <c r="F97" i="4"/>
  <c r="G97" i="4" s="1"/>
  <c r="I98" i="4" s="1"/>
  <c r="E97" i="4"/>
  <c r="O92" i="4"/>
  <c r="N92" i="4"/>
  <c r="M92" i="4"/>
  <c r="I92" i="4"/>
  <c r="H92" i="4"/>
  <c r="J92" i="4" s="1"/>
  <c r="N91" i="4"/>
  <c r="M91" i="4"/>
  <c r="O91" i="4" s="1"/>
  <c r="J91" i="4"/>
  <c r="I91" i="4"/>
  <c r="H91" i="4"/>
  <c r="I90" i="4"/>
  <c r="H90" i="4"/>
  <c r="J90" i="4" s="1"/>
  <c r="O89" i="4"/>
  <c r="N89" i="4"/>
  <c r="M89" i="4"/>
  <c r="I89" i="4"/>
  <c r="H89" i="4"/>
  <c r="J89" i="4" s="1"/>
  <c r="O88" i="4"/>
  <c r="N88" i="4"/>
  <c r="M88" i="4"/>
  <c r="J88" i="4"/>
  <c r="I88" i="4"/>
  <c r="H88" i="4"/>
  <c r="N87" i="4"/>
  <c r="M87" i="4"/>
  <c r="O87" i="4" s="1"/>
  <c r="J87" i="4"/>
  <c r="I87" i="4"/>
  <c r="H87" i="4"/>
  <c r="O86" i="4"/>
  <c r="N86" i="4"/>
  <c r="M86" i="4"/>
  <c r="I86" i="4"/>
  <c r="H86" i="4"/>
  <c r="J86" i="4" s="1"/>
  <c r="O85" i="4"/>
  <c r="N85" i="4"/>
  <c r="M85" i="4"/>
  <c r="J85" i="4"/>
  <c r="I85" i="4"/>
  <c r="H85" i="4"/>
  <c r="O82" i="4"/>
  <c r="P82" i="4" s="1"/>
  <c r="N82" i="4"/>
  <c r="J82" i="4"/>
  <c r="K82" i="4" s="1"/>
  <c r="I82" i="4"/>
  <c r="J81" i="4"/>
  <c r="I81" i="4"/>
  <c r="K81" i="4" s="1"/>
  <c r="O80" i="4"/>
  <c r="P80" i="4" s="1"/>
  <c r="N80" i="4"/>
  <c r="K80" i="4"/>
  <c r="J80" i="4"/>
  <c r="I80" i="4"/>
  <c r="P79" i="4"/>
  <c r="O79" i="4"/>
  <c r="N79" i="4"/>
  <c r="J79" i="4"/>
  <c r="I79" i="4"/>
  <c r="K79" i="4" s="1"/>
  <c r="P78" i="4"/>
  <c r="O78" i="4"/>
  <c r="N78" i="4"/>
  <c r="J78" i="4"/>
  <c r="I78" i="4"/>
  <c r="K78" i="4" s="1"/>
  <c r="P77" i="4"/>
  <c r="O77" i="4"/>
  <c r="N77" i="4"/>
  <c r="J77" i="4"/>
  <c r="I77" i="4"/>
  <c r="K77" i="4" s="1"/>
  <c r="O76" i="4"/>
  <c r="P76" i="4" s="1"/>
  <c r="N76" i="4"/>
  <c r="K76" i="4"/>
  <c r="J76" i="4"/>
  <c r="I76" i="4"/>
  <c r="N70" i="4"/>
  <c r="O70" i="4" s="1"/>
  <c r="M70" i="4"/>
  <c r="I70" i="4"/>
  <c r="H70" i="4"/>
  <c r="J70" i="4" s="1"/>
  <c r="N69" i="4"/>
  <c r="M69" i="4"/>
  <c r="O69" i="4" s="1"/>
  <c r="I69" i="4"/>
  <c r="J69" i="4" s="1"/>
  <c r="H69" i="4"/>
  <c r="N68" i="4"/>
  <c r="M68" i="4"/>
  <c r="O68" i="4" s="1"/>
  <c r="J68" i="4"/>
  <c r="I68" i="4"/>
  <c r="H68" i="4"/>
  <c r="N67" i="4"/>
  <c r="M67" i="4"/>
  <c r="O67" i="4" s="1"/>
  <c r="J67" i="4"/>
  <c r="D102" i="4" s="1"/>
  <c r="I67" i="4"/>
  <c r="H67" i="4"/>
  <c r="N66" i="4"/>
  <c r="O66" i="4" s="1"/>
  <c r="M66" i="4"/>
  <c r="I66" i="4"/>
  <c r="H66" i="4"/>
  <c r="J66" i="4" s="1"/>
  <c r="D101" i="4" s="1"/>
  <c r="O65" i="4"/>
  <c r="N65" i="4"/>
  <c r="M65" i="4"/>
  <c r="J65" i="4"/>
  <c r="D100" i="4" s="1"/>
  <c r="I65" i="4"/>
  <c r="H65" i="4"/>
  <c r="N64" i="4"/>
  <c r="M64" i="4"/>
  <c r="O64" i="4" s="1"/>
  <c r="J64" i="4"/>
  <c r="D99" i="4" s="1"/>
  <c r="I64" i="4"/>
  <c r="H64" i="4"/>
  <c r="O63" i="4"/>
  <c r="N63" i="4"/>
  <c r="M63" i="4"/>
  <c r="I63" i="4"/>
  <c r="H63" i="4"/>
  <c r="J63" i="4" s="1"/>
  <c r="D98" i="4" s="1"/>
  <c r="N62" i="4"/>
  <c r="O62" i="4" s="1"/>
  <c r="M62" i="4"/>
  <c r="I62" i="4"/>
  <c r="H62" i="4"/>
  <c r="J62" i="4" s="1"/>
  <c r="D97" i="4" s="1"/>
  <c r="O58" i="4"/>
  <c r="P58" i="4" s="1"/>
  <c r="N58" i="4"/>
  <c r="K58" i="4"/>
  <c r="J58" i="4"/>
  <c r="I58" i="4"/>
  <c r="P57" i="4"/>
  <c r="O57" i="4"/>
  <c r="N57" i="4"/>
  <c r="J57" i="4"/>
  <c r="I57" i="4"/>
  <c r="K57" i="4" s="1"/>
  <c r="P56" i="4"/>
  <c r="O56" i="4"/>
  <c r="N56" i="4"/>
  <c r="J56" i="4"/>
  <c r="I56" i="4"/>
  <c r="K56" i="4" s="1"/>
  <c r="E102" i="4" s="1"/>
  <c r="O55" i="4"/>
  <c r="N55" i="4"/>
  <c r="P55" i="4" s="1"/>
  <c r="J55" i="4"/>
  <c r="I55" i="4"/>
  <c r="K55" i="4" s="1"/>
  <c r="E101" i="4" s="1"/>
  <c r="O54" i="4"/>
  <c r="P54" i="4" s="1"/>
  <c r="N54" i="4"/>
  <c r="K54" i="4"/>
  <c r="E100" i="4" s="1"/>
  <c r="J54" i="4"/>
  <c r="I54" i="4"/>
  <c r="O53" i="4"/>
  <c r="P53" i="4" s="1"/>
  <c r="N53" i="4"/>
  <c r="J53" i="4"/>
  <c r="I53" i="4"/>
  <c r="K53" i="4" s="1"/>
  <c r="E99" i="4" s="1"/>
  <c r="O52" i="4"/>
  <c r="N52" i="4"/>
  <c r="P52" i="4" s="1"/>
  <c r="J52" i="4"/>
  <c r="K52" i="4" s="1"/>
  <c r="E98" i="4" s="1"/>
  <c r="I52" i="4"/>
  <c r="O51" i="4"/>
  <c r="P51" i="4" s="1"/>
  <c r="N51" i="4"/>
  <c r="K51" i="4"/>
  <c r="J51" i="4"/>
  <c r="I51" i="4"/>
  <c r="B47" i="4"/>
  <c r="B46" i="4"/>
  <c r="B45" i="4"/>
  <c r="C101" i="4" s="1"/>
  <c r="R102" i="4" s="1"/>
  <c r="S102" i="4" s="1"/>
  <c r="B44" i="4"/>
  <c r="C100" i="4" s="1"/>
  <c r="R101" i="4" s="1"/>
  <c r="S101" i="4" s="1"/>
  <c r="U101" i="4" s="1"/>
  <c r="B43" i="4"/>
  <c r="C99" i="4" s="1"/>
  <c r="R100" i="4" s="1"/>
  <c r="S100" i="4" s="1"/>
  <c r="U100" i="4" s="1"/>
  <c r="B42" i="4"/>
  <c r="C98" i="4" s="1"/>
  <c r="R99" i="4" s="1"/>
  <c r="S99" i="4" s="1"/>
  <c r="U99" i="4" s="1"/>
  <c r="C41" i="4"/>
  <c r="B41" i="4"/>
  <c r="C97" i="4" s="1"/>
  <c r="P39" i="4"/>
  <c r="O39" i="4"/>
  <c r="Q39" i="4" s="1"/>
  <c r="I39" i="4"/>
  <c r="H39" i="4"/>
  <c r="E39" i="4"/>
  <c r="P38" i="4"/>
  <c r="O38" i="4"/>
  <c r="Q38" i="4" s="1"/>
  <c r="H38" i="4"/>
  <c r="I38" i="4" s="1"/>
  <c r="A102" i="4" s="1"/>
  <c r="E38" i="4"/>
  <c r="Q37" i="4"/>
  <c r="P37" i="4"/>
  <c r="O37" i="4"/>
  <c r="H37" i="4"/>
  <c r="I37" i="4" s="1"/>
  <c r="A101" i="4" s="1"/>
  <c r="E37" i="4"/>
  <c r="Q36" i="4"/>
  <c r="P36" i="4"/>
  <c r="O36" i="4"/>
  <c r="H36" i="4"/>
  <c r="I36" i="4" s="1"/>
  <c r="A100" i="4" s="1"/>
  <c r="E36" i="4"/>
  <c r="P35" i="4"/>
  <c r="Q35" i="4" s="1"/>
  <c r="O35" i="4"/>
  <c r="H35" i="4"/>
  <c r="I35" i="4" s="1"/>
  <c r="A99" i="4" s="1"/>
  <c r="E35" i="4"/>
  <c r="P34" i="4"/>
  <c r="O34" i="4"/>
  <c r="Q34" i="4" s="1"/>
  <c r="I34" i="4"/>
  <c r="A98" i="4" s="1"/>
  <c r="H34" i="4"/>
  <c r="Q33" i="4"/>
  <c r="P33" i="4"/>
  <c r="O33" i="4"/>
  <c r="H33" i="4"/>
  <c r="I33" i="4" s="1"/>
  <c r="A97" i="4" s="1"/>
  <c r="C33" i="4"/>
  <c r="E33" i="4" s="1"/>
  <c r="B24" i="4"/>
  <c r="B22" i="4"/>
  <c r="B19" i="4"/>
  <c r="E34" i="4" s="1"/>
  <c r="D15" i="4"/>
  <c r="H12" i="4" s="1"/>
  <c r="AI23" i="4" s="1"/>
  <c r="X13" i="4"/>
  <c r="D12" i="4"/>
  <c r="J11" i="4"/>
  <c r="I11" i="4"/>
  <c r="H11" i="4"/>
  <c r="AI22" i="4" s="1"/>
  <c r="D11" i="4"/>
  <c r="D13" i="4" s="1"/>
  <c r="H10" i="4"/>
  <c r="AI21" i="4" s="1"/>
  <c r="D9" i="4"/>
  <c r="D10" i="4" s="1"/>
  <c r="D8" i="4" s="1"/>
  <c r="D14" i="4" s="1"/>
  <c r="G8" i="4"/>
  <c r="F101" i="3"/>
  <c r="G101" i="3" s="1"/>
  <c r="C101" i="3"/>
  <c r="B101" i="3"/>
  <c r="D100" i="3"/>
  <c r="AC101" i="3" s="1"/>
  <c r="AD101" i="3" s="1"/>
  <c r="C100" i="3"/>
  <c r="R101" i="3" s="1"/>
  <c r="S101" i="3" s="1"/>
  <c r="B100" i="3"/>
  <c r="B98" i="3"/>
  <c r="AV97" i="3"/>
  <c r="N92" i="3"/>
  <c r="M92" i="3"/>
  <c r="O92" i="3" s="1"/>
  <c r="J92" i="3"/>
  <c r="I92" i="3"/>
  <c r="H92" i="3"/>
  <c r="O91" i="3"/>
  <c r="N91" i="3"/>
  <c r="M91" i="3"/>
  <c r="I91" i="3"/>
  <c r="H91" i="3"/>
  <c r="J91" i="3" s="1"/>
  <c r="O90" i="3"/>
  <c r="N90" i="3"/>
  <c r="M90" i="3"/>
  <c r="I90" i="3"/>
  <c r="H90" i="3"/>
  <c r="J90" i="3" s="1"/>
  <c r="N89" i="3"/>
  <c r="M89" i="3"/>
  <c r="O89" i="3" s="1"/>
  <c r="J89" i="3"/>
  <c r="I89" i="3"/>
  <c r="H89" i="3"/>
  <c r="O88" i="3"/>
  <c r="N88" i="3"/>
  <c r="M88" i="3"/>
  <c r="I88" i="3"/>
  <c r="H88" i="3"/>
  <c r="J88" i="3" s="1"/>
  <c r="O87" i="3"/>
  <c r="N87" i="3"/>
  <c r="M87" i="3"/>
  <c r="I87" i="3"/>
  <c r="H87" i="3"/>
  <c r="J87" i="3" s="1"/>
  <c r="N86" i="3"/>
  <c r="M86" i="3"/>
  <c r="O86" i="3" s="1"/>
  <c r="I86" i="3"/>
  <c r="J86" i="3" s="1"/>
  <c r="H86" i="3"/>
  <c r="N85" i="3"/>
  <c r="M85" i="3"/>
  <c r="O85" i="3" s="1"/>
  <c r="J85" i="3"/>
  <c r="I85" i="3"/>
  <c r="H85" i="3"/>
  <c r="O82" i="3"/>
  <c r="P82" i="3" s="1"/>
  <c r="N82" i="3"/>
  <c r="J82" i="3"/>
  <c r="I82" i="3"/>
  <c r="K82" i="3" s="1"/>
  <c r="N81" i="3"/>
  <c r="J81" i="3"/>
  <c r="I81" i="3"/>
  <c r="K81" i="3" s="1"/>
  <c r="P80" i="3"/>
  <c r="O80" i="3"/>
  <c r="N80" i="3"/>
  <c r="J80" i="3"/>
  <c r="I80" i="3"/>
  <c r="K80" i="3" s="1"/>
  <c r="P79" i="3"/>
  <c r="O79" i="3"/>
  <c r="N79" i="3"/>
  <c r="J79" i="3"/>
  <c r="I79" i="3"/>
  <c r="K79" i="3" s="1"/>
  <c r="O78" i="3"/>
  <c r="N78" i="3"/>
  <c r="P78" i="3" s="1"/>
  <c r="K78" i="3"/>
  <c r="J78" i="3"/>
  <c r="I78" i="3"/>
  <c r="O77" i="3"/>
  <c r="P77" i="3" s="1"/>
  <c r="N77" i="3"/>
  <c r="J77" i="3"/>
  <c r="I77" i="3"/>
  <c r="K77" i="3" s="1"/>
  <c r="O76" i="3"/>
  <c r="P76" i="3" s="1"/>
  <c r="N76" i="3"/>
  <c r="J76" i="3"/>
  <c r="K76" i="3" s="1"/>
  <c r="I76" i="3"/>
  <c r="N69" i="3"/>
  <c r="M69" i="3"/>
  <c r="O69" i="3" s="1"/>
  <c r="J69" i="3"/>
  <c r="I69" i="3"/>
  <c r="H69" i="3"/>
  <c r="N68" i="3"/>
  <c r="M68" i="3"/>
  <c r="O68" i="3" s="1"/>
  <c r="J68" i="3"/>
  <c r="AT97" i="3" s="1"/>
  <c r="H13" i="3" s="1"/>
  <c r="AI24" i="3" s="1"/>
  <c r="I68" i="3"/>
  <c r="H68" i="3"/>
  <c r="O67" i="3"/>
  <c r="N67" i="3"/>
  <c r="M67" i="3"/>
  <c r="I67" i="3"/>
  <c r="H67" i="3"/>
  <c r="J67" i="3" s="1"/>
  <c r="O66" i="3"/>
  <c r="N66" i="3"/>
  <c r="M66" i="3"/>
  <c r="J66" i="3"/>
  <c r="D101" i="3" s="1"/>
  <c r="I66" i="3"/>
  <c r="H66" i="3"/>
  <c r="N65" i="3"/>
  <c r="M65" i="3"/>
  <c r="O65" i="3" s="1"/>
  <c r="J65" i="3"/>
  <c r="I65" i="3"/>
  <c r="H65" i="3"/>
  <c r="O64" i="3"/>
  <c r="N64" i="3"/>
  <c r="M64" i="3"/>
  <c r="I64" i="3"/>
  <c r="H64" i="3"/>
  <c r="J64" i="3" s="1"/>
  <c r="D99" i="3" s="1"/>
  <c r="AC100" i="3" s="1"/>
  <c r="AD100" i="3" s="1"/>
  <c r="N63" i="3"/>
  <c r="O63" i="3" s="1"/>
  <c r="M63" i="3"/>
  <c r="I63" i="3"/>
  <c r="H63" i="3"/>
  <c r="J63" i="3" s="1"/>
  <c r="D98" i="3" s="1"/>
  <c r="AC99" i="3" s="1"/>
  <c r="AD99" i="3" s="1"/>
  <c r="N62" i="3"/>
  <c r="M62" i="3"/>
  <c r="O62" i="3" s="1"/>
  <c r="J62" i="3"/>
  <c r="D97" i="3" s="1"/>
  <c r="I62" i="3"/>
  <c r="H62" i="3"/>
  <c r="O57" i="3"/>
  <c r="P57" i="3" s="1"/>
  <c r="N57" i="3"/>
  <c r="J57" i="3"/>
  <c r="I57" i="3"/>
  <c r="K57" i="3" s="1"/>
  <c r="AU97" i="3" s="1"/>
  <c r="H14" i="3" s="1"/>
  <c r="AI25" i="3" s="1"/>
  <c r="O56" i="3"/>
  <c r="N56" i="3"/>
  <c r="J56" i="3"/>
  <c r="I56" i="3"/>
  <c r="K56" i="3" s="1"/>
  <c r="O55" i="3"/>
  <c r="P55" i="3" s="1"/>
  <c r="N55" i="3"/>
  <c r="J55" i="3"/>
  <c r="I55" i="3"/>
  <c r="K55" i="3" s="1"/>
  <c r="E101" i="3" s="1"/>
  <c r="O54" i="3"/>
  <c r="P54" i="3" s="1"/>
  <c r="N54" i="3"/>
  <c r="J54" i="3"/>
  <c r="K54" i="3" s="1"/>
  <c r="E100" i="3" s="1"/>
  <c r="I54" i="3"/>
  <c r="O53" i="3"/>
  <c r="N53" i="3"/>
  <c r="P53" i="3" s="1"/>
  <c r="K53" i="3"/>
  <c r="E99" i="3" s="1"/>
  <c r="J53" i="3"/>
  <c r="I53" i="3"/>
  <c r="O52" i="3"/>
  <c r="N52" i="3"/>
  <c r="J52" i="3"/>
  <c r="I52" i="3"/>
  <c r="K52" i="3" s="1"/>
  <c r="E98" i="3" s="1"/>
  <c r="O51" i="3"/>
  <c r="P51" i="3" s="1"/>
  <c r="N51" i="3"/>
  <c r="K51" i="3"/>
  <c r="E97" i="3" s="1"/>
  <c r="AP97" i="3" s="1"/>
  <c r="J14" i="3" s="1"/>
  <c r="AK25" i="3" s="1"/>
  <c r="J51" i="3"/>
  <c r="I51" i="3"/>
  <c r="C45" i="3"/>
  <c r="B45" i="3"/>
  <c r="C44" i="3"/>
  <c r="B44" i="3"/>
  <c r="C43" i="3"/>
  <c r="B99" i="3" s="1"/>
  <c r="B43" i="3"/>
  <c r="C99" i="3" s="1"/>
  <c r="R100" i="3" s="1"/>
  <c r="S100" i="3" s="1"/>
  <c r="U101" i="3" s="1"/>
  <c r="C42" i="3"/>
  <c r="B42" i="3"/>
  <c r="C98" i="3" s="1"/>
  <c r="C41" i="3"/>
  <c r="B97" i="3" s="1"/>
  <c r="B41" i="3"/>
  <c r="C97" i="3" s="1"/>
  <c r="P37" i="3"/>
  <c r="O37" i="3"/>
  <c r="H37" i="3"/>
  <c r="P36" i="3"/>
  <c r="O36" i="3"/>
  <c r="H36" i="3"/>
  <c r="P35" i="3"/>
  <c r="O35" i="3"/>
  <c r="H35" i="3"/>
  <c r="P34" i="3"/>
  <c r="O34" i="3"/>
  <c r="H34" i="3"/>
  <c r="P33" i="3"/>
  <c r="O33" i="3"/>
  <c r="H33" i="3"/>
  <c r="AI22" i="3"/>
  <c r="B22" i="3"/>
  <c r="B24" i="3" s="1"/>
  <c r="B19" i="3"/>
  <c r="X13" i="3"/>
  <c r="D12" i="3"/>
  <c r="H11" i="3"/>
  <c r="D11" i="3"/>
  <c r="D13" i="3" s="1"/>
  <c r="D10" i="3"/>
  <c r="D8" i="3" s="1"/>
  <c r="D9" i="3"/>
  <c r="G8" i="3"/>
  <c r="P52" i="3" l="1"/>
  <c r="AO97" i="3"/>
  <c r="J13" i="3" s="1"/>
  <c r="AK24" i="3" s="1"/>
  <c r="AC97" i="3"/>
  <c r="AD97" i="3" s="1"/>
  <c r="AC98" i="3"/>
  <c r="AD98" i="3" s="1"/>
  <c r="AF99" i="3" s="1"/>
  <c r="E103" i="4"/>
  <c r="AU97" i="4"/>
  <c r="H14" i="4" s="1"/>
  <c r="AI25" i="4" s="1"/>
  <c r="AF100" i="3"/>
  <c r="AF101" i="3"/>
  <c r="C33" i="3"/>
  <c r="H10" i="3"/>
  <c r="AI21" i="3" s="1"/>
  <c r="D15" i="3"/>
  <c r="R98" i="3"/>
  <c r="S98" i="3" s="1"/>
  <c r="R97" i="3"/>
  <c r="F98" i="3"/>
  <c r="G98" i="3" s="1"/>
  <c r="I99" i="3" s="1"/>
  <c r="F97" i="3"/>
  <c r="G97" i="3" s="1"/>
  <c r="I98" i="3" s="1"/>
  <c r="R99" i="3"/>
  <c r="S99" i="3" s="1"/>
  <c r="U100" i="3" s="1"/>
  <c r="AC107" i="5"/>
  <c r="AC108" i="5" s="1"/>
  <c r="AC106" i="5"/>
  <c r="D14" i="3"/>
  <c r="F99" i="3"/>
  <c r="G99" i="3" s="1"/>
  <c r="I100" i="3" s="1"/>
  <c r="F100" i="3"/>
  <c r="G100" i="3" s="1"/>
  <c r="I101" i="3" s="1"/>
  <c r="R33" i="5"/>
  <c r="R36" i="5"/>
  <c r="R35" i="5"/>
  <c r="R38" i="5"/>
  <c r="R34" i="5"/>
  <c r="R37" i="5"/>
  <c r="R38" i="4"/>
  <c r="F98" i="5"/>
  <c r="G98" i="5" s="1"/>
  <c r="F97" i="5"/>
  <c r="G97" i="5" s="1"/>
  <c r="I98" i="5" s="1"/>
  <c r="D103" i="4"/>
  <c r="AV97" i="4"/>
  <c r="U100" i="5"/>
  <c r="R98" i="4"/>
  <c r="S98" i="4" s="1"/>
  <c r="U98" i="4" s="1"/>
  <c r="R97" i="4"/>
  <c r="AC107" i="4"/>
  <c r="AC106" i="4"/>
  <c r="AE106" i="4" s="1"/>
  <c r="I102" i="4"/>
  <c r="R98" i="5"/>
  <c r="S98" i="5" s="1"/>
  <c r="U98" i="5" s="1"/>
  <c r="I33" i="3"/>
  <c r="A97" i="3" s="1"/>
  <c r="AN97" i="3" s="1"/>
  <c r="J12" i="3" s="1"/>
  <c r="AK23" i="3" s="1"/>
  <c r="R102" i="5"/>
  <c r="S102" i="5" s="1"/>
  <c r="U102" i="5" s="1"/>
  <c r="R101" i="5"/>
  <c r="S101" i="5" s="1"/>
  <c r="U101" i="5" s="1"/>
  <c r="G100" i="5"/>
  <c r="I101" i="5" s="1"/>
  <c r="U102" i="4"/>
  <c r="AF107" i="4"/>
  <c r="I99" i="4"/>
  <c r="L97" i="4" s="1"/>
  <c r="O97" i="4" s="1"/>
  <c r="AS97" i="5"/>
  <c r="R35" i="4"/>
  <c r="R39" i="4"/>
  <c r="R36" i="4"/>
  <c r="R97" i="5"/>
  <c r="R33" i="4"/>
  <c r="R37" i="4"/>
  <c r="I36" i="5"/>
  <c r="A100" i="5" s="1"/>
  <c r="E33" i="5"/>
  <c r="R34" i="4"/>
  <c r="L97" i="3" l="1"/>
  <c r="O97" i="3" s="1"/>
  <c r="K97" i="3"/>
  <c r="N97" i="3" s="1"/>
  <c r="U99" i="3"/>
  <c r="U98" i="3"/>
  <c r="I99" i="5"/>
  <c r="L97" i="5" s="1"/>
  <c r="O97" i="5" s="1"/>
  <c r="I100" i="5"/>
  <c r="AS97" i="3"/>
  <c r="H12" i="3"/>
  <c r="AI23" i="3" s="1"/>
  <c r="Q33" i="3"/>
  <c r="R33" i="3" s="1"/>
  <c r="E33" i="3"/>
  <c r="C34" i="3"/>
  <c r="AE97" i="5"/>
  <c r="AE98" i="5"/>
  <c r="AE103" i="5" s="1"/>
  <c r="AE99" i="5" s="1"/>
  <c r="X97" i="5"/>
  <c r="AA97" i="5" s="1"/>
  <c r="I14" i="5" s="1"/>
  <c r="AJ25" i="5" s="1"/>
  <c r="W97" i="5"/>
  <c r="Z97" i="5" s="1"/>
  <c r="I13" i="5" s="1"/>
  <c r="AJ24" i="5" s="1"/>
  <c r="V97" i="5"/>
  <c r="AE106" i="5"/>
  <c r="AC108" i="4"/>
  <c r="AC100" i="5"/>
  <c r="AD100" i="5" s="1"/>
  <c r="AE97" i="4"/>
  <c r="AE98" i="4"/>
  <c r="AE103" i="4" s="1"/>
  <c r="AE99" i="4" s="1"/>
  <c r="AF97" i="4" s="1"/>
  <c r="X97" i="4"/>
  <c r="AA97" i="4" s="1"/>
  <c r="I14" i="4" s="1"/>
  <c r="AJ25" i="4" s="1"/>
  <c r="W97" i="4"/>
  <c r="Z97" i="4" s="1"/>
  <c r="I13" i="4" s="1"/>
  <c r="AJ24" i="4" s="1"/>
  <c r="V97" i="4"/>
  <c r="AF98" i="3"/>
  <c r="J97" i="4"/>
  <c r="M97" i="4" s="1"/>
  <c r="K97" i="4"/>
  <c r="N97" i="4" s="1"/>
  <c r="Y97" i="4" l="1"/>
  <c r="I12" i="4" s="1"/>
  <c r="AJ23" i="4" s="1"/>
  <c r="AF37" i="4" s="1"/>
  <c r="AC102" i="4"/>
  <c r="AD102" i="4" s="1"/>
  <c r="AC100" i="4"/>
  <c r="AD100" i="4" s="1"/>
  <c r="AC98" i="4"/>
  <c r="AD98" i="4" s="1"/>
  <c r="AC97" i="4"/>
  <c r="AD97" i="4" s="1"/>
  <c r="AC101" i="4"/>
  <c r="AD101" i="4" s="1"/>
  <c r="AC103" i="4"/>
  <c r="AC99" i="4"/>
  <c r="AD99" i="4" s="1"/>
  <c r="AF98" i="4"/>
  <c r="AF99" i="4" s="1"/>
  <c r="AF100" i="4" s="1"/>
  <c r="AF101" i="4" s="1"/>
  <c r="AF102" i="4" s="1"/>
  <c r="AF103" i="4" s="1"/>
  <c r="AC103" i="5"/>
  <c r="Y97" i="5"/>
  <c r="I12" i="5" s="1"/>
  <c r="AJ23" i="5" s="1"/>
  <c r="AC99" i="5"/>
  <c r="AD99" i="5" s="1"/>
  <c r="AC102" i="5"/>
  <c r="AD102" i="5" s="1"/>
  <c r="AC98" i="5"/>
  <c r="AD98" i="5" s="1"/>
  <c r="AC101" i="5"/>
  <c r="AD101" i="5" s="1"/>
  <c r="AC97" i="5"/>
  <c r="AD97" i="5" s="1"/>
  <c r="AF100" i="5"/>
  <c r="AF98" i="5"/>
  <c r="AF97" i="5"/>
  <c r="AF102" i="5"/>
  <c r="AF99" i="5"/>
  <c r="AF101" i="5"/>
  <c r="C35" i="3"/>
  <c r="E34" i="3"/>
  <c r="Q34" i="3"/>
  <c r="R34" i="3" s="1"/>
  <c r="I34" i="3"/>
  <c r="A98" i="3" s="1"/>
  <c r="J97" i="5"/>
  <c r="M97" i="5" s="1"/>
  <c r="K97" i="5"/>
  <c r="N97" i="5" s="1"/>
  <c r="X97" i="3"/>
  <c r="AA97" i="3" s="1"/>
  <c r="I14" i="3" s="1"/>
  <c r="AJ25" i="3" s="1"/>
  <c r="W97" i="3"/>
  <c r="Z97" i="3" s="1"/>
  <c r="I13" i="3" s="1"/>
  <c r="AJ24" i="3" s="1"/>
  <c r="AI97" i="3"/>
  <c r="AH97" i="3"/>
  <c r="AG97" i="3"/>
  <c r="AK97" i="3" s="1"/>
  <c r="AM97" i="3" s="1"/>
  <c r="AI97" i="4" l="1"/>
  <c r="AP97" i="4" s="1"/>
  <c r="J14" i="4" s="1"/>
  <c r="AK25" i="4" s="1"/>
  <c r="AH97" i="4"/>
  <c r="AO97" i="4" s="1"/>
  <c r="J13" i="4" s="1"/>
  <c r="AK24" i="4" s="1"/>
  <c r="C36" i="3"/>
  <c r="E35" i="3"/>
  <c r="I35" i="3"/>
  <c r="A99" i="3" s="1"/>
  <c r="Q35" i="3"/>
  <c r="R35" i="3" s="1"/>
  <c r="AI97" i="5"/>
  <c r="AP97" i="5" s="1"/>
  <c r="J14" i="5" s="1"/>
  <c r="AK25" i="5" s="1"/>
  <c r="AH97" i="5"/>
  <c r="AO97" i="5" s="1"/>
  <c r="J13" i="5" s="1"/>
  <c r="AK24" i="5" s="1"/>
  <c r="AF37" i="5" s="1"/>
  <c r="AG97" i="5"/>
  <c r="AG97" i="4"/>
  <c r="AN97" i="4" l="1"/>
  <c r="J12" i="4" s="1"/>
  <c r="AK23" i="4" s="1"/>
  <c r="AK97" i="4"/>
  <c r="AM97" i="4" s="1"/>
  <c r="AN97" i="5"/>
  <c r="J12" i="5" s="1"/>
  <c r="AK23" i="5" s="1"/>
  <c r="AK97" i="5"/>
  <c r="AM97" i="5" s="1"/>
  <c r="J97" i="3"/>
  <c r="M97" i="3" s="1"/>
  <c r="V97" i="3"/>
  <c r="Y97" i="3" s="1"/>
  <c r="I12" i="3" s="1"/>
  <c r="AJ23" i="3" s="1"/>
  <c r="C37" i="3"/>
  <c r="E36" i="3"/>
  <c r="I36" i="3"/>
  <c r="A100" i="3" s="1"/>
  <c r="Q36" i="3"/>
  <c r="R36" i="3" s="1"/>
  <c r="E37" i="3" l="1"/>
  <c r="I37" i="3"/>
  <c r="A101" i="3" s="1"/>
  <c r="Q37" i="3"/>
  <c r="R37" i="3" s="1"/>
  <c r="N70" i="2" l="1"/>
  <c r="M70" i="2"/>
  <c r="O70" i="2" s="1"/>
  <c r="I70" i="2"/>
  <c r="H70" i="2"/>
  <c r="J70" i="2" s="1"/>
  <c r="N69" i="2"/>
  <c r="M69" i="2"/>
  <c r="O69" i="2" s="1"/>
  <c r="I69" i="2"/>
  <c r="H69" i="2"/>
  <c r="J69" i="2" s="1"/>
  <c r="N68" i="2"/>
  <c r="M68" i="2"/>
  <c r="O68" i="2" s="1"/>
  <c r="I68" i="2"/>
  <c r="H68" i="2"/>
  <c r="N67" i="2"/>
  <c r="M67" i="2"/>
  <c r="I67" i="2"/>
  <c r="H67" i="2"/>
  <c r="N66" i="2"/>
  <c r="M66" i="2"/>
  <c r="I66" i="2"/>
  <c r="H66" i="2"/>
  <c r="J66" i="2" s="1"/>
  <c r="D76" i="2" s="1"/>
  <c r="N65" i="2"/>
  <c r="M65" i="2"/>
  <c r="O65" i="2" s="1"/>
  <c r="I65" i="2"/>
  <c r="H65" i="2"/>
  <c r="J65" i="2" s="1"/>
  <c r="D75" i="2" s="1"/>
  <c r="AC76" i="2" s="1"/>
  <c r="N64" i="2"/>
  <c r="M64" i="2"/>
  <c r="O64" i="2" s="1"/>
  <c r="I64" i="2"/>
  <c r="H64" i="2"/>
  <c r="J64" i="2" s="1"/>
  <c r="D74" i="2" s="1"/>
  <c r="N63" i="2"/>
  <c r="M63" i="2"/>
  <c r="O63" i="2" s="1"/>
  <c r="I63" i="2"/>
  <c r="H63" i="2"/>
  <c r="J63" i="2" s="1"/>
  <c r="D73" i="2" s="1"/>
  <c r="O58" i="2"/>
  <c r="N58" i="2"/>
  <c r="P58" i="2" s="1"/>
  <c r="AU73" i="2" s="1"/>
  <c r="H14" i="2" s="1"/>
  <c r="X62" i="2" s="1"/>
  <c r="J58" i="2"/>
  <c r="I58" i="2"/>
  <c r="O57" i="2"/>
  <c r="N57" i="2"/>
  <c r="J57" i="2"/>
  <c r="I57" i="2"/>
  <c r="O56" i="2"/>
  <c r="N56" i="2"/>
  <c r="P56" i="2" s="1"/>
  <c r="J56" i="2"/>
  <c r="I56" i="2"/>
  <c r="O55" i="2"/>
  <c r="N55" i="2"/>
  <c r="J55" i="2"/>
  <c r="I55" i="2"/>
  <c r="K55" i="2" s="1"/>
  <c r="E76" i="2" s="1"/>
  <c r="O54" i="2"/>
  <c r="N54" i="2"/>
  <c r="P54" i="2" s="1"/>
  <c r="J54" i="2"/>
  <c r="I54" i="2"/>
  <c r="K54" i="2" s="1"/>
  <c r="E75" i="2" s="1"/>
  <c r="O53" i="2"/>
  <c r="N53" i="2"/>
  <c r="J53" i="2"/>
  <c r="I53" i="2"/>
  <c r="K53" i="2" s="1"/>
  <c r="E74" i="2" s="1"/>
  <c r="AP73" i="2" s="1"/>
  <c r="J14" i="2" s="1"/>
  <c r="Z62" i="2" s="1"/>
  <c r="O52" i="2"/>
  <c r="N52" i="2"/>
  <c r="P52" i="2" s="1"/>
  <c r="J52" i="2"/>
  <c r="I52" i="2"/>
  <c r="K52" i="2" s="1"/>
  <c r="E73" i="2" s="1"/>
  <c r="C47" i="2"/>
  <c r="B78" i="2" s="1"/>
  <c r="B47" i="2"/>
  <c r="C78" i="2" s="1"/>
  <c r="C46" i="2"/>
  <c r="B77" i="2" s="1"/>
  <c r="B46" i="2"/>
  <c r="C77" i="2" s="1"/>
  <c r="R78" i="2" s="1"/>
  <c r="C45" i="2"/>
  <c r="B76" i="2" s="1"/>
  <c r="B45" i="2"/>
  <c r="C76" i="2" s="1"/>
  <c r="R77" i="2" s="1"/>
  <c r="S78" i="2" s="1"/>
  <c r="C44" i="2"/>
  <c r="B75" i="2" s="1"/>
  <c r="F76" i="2" s="1"/>
  <c r="G77" i="2" s="1"/>
  <c r="B44" i="2"/>
  <c r="C75" i="2" s="1"/>
  <c r="C43" i="2"/>
  <c r="B74" i="2" s="1"/>
  <c r="B43" i="2"/>
  <c r="C74" i="2" s="1"/>
  <c r="C42" i="2"/>
  <c r="B73" i="2" s="1"/>
  <c r="B42" i="2"/>
  <c r="C73" i="2" s="1"/>
  <c r="P38" i="2"/>
  <c r="O38" i="2"/>
  <c r="H38" i="2"/>
  <c r="P37" i="2"/>
  <c r="O37" i="2"/>
  <c r="H37" i="2"/>
  <c r="P36" i="2"/>
  <c r="O36" i="2"/>
  <c r="H36" i="2"/>
  <c r="P35" i="2"/>
  <c r="O35" i="2"/>
  <c r="H35" i="2"/>
  <c r="P34" i="2"/>
  <c r="O34" i="2"/>
  <c r="H34" i="2"/>
  <c r="P33" i="2"/>
  <c r="O33" i="2"/>
  <c r="H33" i="2"/>
  <c r="B22" i="2"/>
  <c r="B24" i="2" s="1"/>
  <c r="B19" i="2"/>
  <c r="E38" i="2" s="1"/>
  <c r="D15" i="2"/>
  <c r="AS73" i="2" s="1"/>
  <c r="H12" i="2" s="1"/>
  <c r="X60" i="2" s="1"/>
  <c r="D12" i="2"/>
  <c r="J11" i="2"/>
  <c r="Z59" i="2" s="1"/>
  <c r="I11" i="2"/>
  <c r="Y59" i="2" s="1"/>
  <c r="H11" i="2"/>
  <c r="X59" i="2" s="1"/>
  <c r="D11" i="2"/>
  <c r="D9" i="2"/>
  <c r="D10" i="2" s="1"/>
  <c r="D8" i="2" s="1"/>
  <c r="C76" i="1"/>
  <c r="B76" i="1"/>
  <c r="C75" i="1"/>
  <c r="B75" i="1"/>
  <c r="F76" i="1" s="1"/>
  <c r="C74" i="1"/>
  <c r="R75" i="1" s="1"/>
  <c r="S76" i="1" s="1"/>
  <c r="B74" i="1"/>
  <c r="F75" i="1" s="1"/>
  <c r="G76" i="1" s="1"/>
  <c r="N69" i="1"/>
  <c r="M69" i="1"/>
  <c r="O69" i="1" s="1"/>
  <c r="I69" i="1"/>
  <c r="H69" i="1"/>
  <c r="J69" i="1" s="1"/>
  <c r="N68" i="1"/>
  <c r="M68" i="1"/>
  <c r="I68" i="1"/>
  <c r="H68" i="1"/>
  <c r="N67" i="1"/>
  <c r="M67" i="1"/>
  <c r="O67" i="1" s="1"/>
  <c r="I67" i="1"/>
  <c r="H67" i="1"/>
  <c r="N66" i="1"/>
  <c r="M66" i="1"/>
  <c r="I66" i="1"/>
  <c r="H66" i="1"/>
  <c r="J66" i="1" s="1"/>
  <c r="D76" i="1" s="1"/>
  <c r="N65" i="1"/>
  <c r="M65" i="1"/>
  <c r="O65" i="1" s="1"/>
  <c r="I65" i="1"/>
  <c r="H65" i="1"/>
  <c r="J65" i="1" s="1"/>
  <c r="D75" i="1" s="1"/>
  <c r="N64" i="1"/>
  <c r="M64" i="1"/>
  <c r="O64" i="1" s="1"/>
  <c r="I64" i="1"/>
  <c r="H64" i="1"/>
  <c r="N63" i="1"/>
  <c r="M63" i="1"/>
  <c r="I63" i="1"/>
  <c r="H63" i="1"/>
  <c r="J63" i="1" s="1"/>
  <c r="D73" i="1" s="1"/>
  <c r="N62" i="1"/>
  <c r="M62" i="1"/>
  <c r="O62" i="1" s="1"/>
  <c r="I62" i="1"/>
  <c r="H62" i="1"/>
  <c r="O57" i="1"/>
  <c r="N57" i="1"/>
  <c r="J57" i="1"/>
  <c r="I57" i="1"/>
  <c r="O56" i="1"/>
  <c r="N56" i="1"/>
  <c r="J56" i="1"/>
  <c r="I56" i="1"/>
  <c r="O55" i="1"/>
  <c r="N55" i="1"/>
  <c r="P55" i="1" s="1"/>
  <c r="J55" i="1"/>
  <c r="I55" i="1"/>
  <c r="O54" i="1"/>
  <c r="N54" i="1"/>
  <c r="J54" i="1"/>
  <c r="I54" i="1"/>
  <c r="O53" i="1"/>
  <c r="N53" i="1"/>
  <c r="P53" i="1" s="1"/>
  <c r="J53" i="1"/>
  <c r="I53" i="1"/>
  <c r="O52" i="1"/>
  <c r="N52" i="1"/>
  <c r="J52" i="1"/>
  <c r="I52" i="1"/>
  <c r="K52" i="1" s="1"/>
  <c r="E73" i="1" s="1"/>
  <c r="O51" i="1"/>
  <c r="N51" i="1"/>
  <c r="P51" i="1" s="1"/>
  <c r="J51" i="1"/>
  <c r="I51" i="1"/>
  <c r="C47" i="1"/>
  <c r="B77" i="1" s="1"/>
  <c r="B47" i="1"/>
  <c r="C77" i="1" s="1"/>
  <c r="C46" i="1"/>
  <c r="B46" i="1"/>
  <c r="C45" i="1"/>
  <c r="B45" i="1"/>
  <c r="C44" i="1"/>
  <c r="B44" i="1"/>
  <c r="C43" i="1"/>
  <c r="B73" i="1" s="1"/>
  <c r="B43" i="1"/>
  <c r="C73" i="1" s="1"/>
  <c r="C42" i="1"/>
  <c r="B72" i="1" s="1"/>
  <c r="B42" i="1"/>
  <c r="C72" i="1" s="1"/>
  <c r="P38" i="1"/>
  <c r="O38" i="1"/>
  <c r="H38" i="1"/>
  <c r="P37" i="1"/>
  <c r="O37" i="1"/>
  <c r="H37" i="1"/>
  <c r="P36" i="1"/>
  <c r="O36" i="1"/>
  <c r="H36" i="1"/>
  <c r="I36" i="1" s="1"/>
  <c r="A75" i="1" s="1"/>
  <c r="AO72" i="1" s="1"/>
  <c r="J12" i="1" s="1"/>
  <c r="Z59" i="1" s="1"/>
  <c r="P35" i="1"/>
  <c r="O35" i="1"/>
  <c r="H35" i="1"/>
  <c r="I35" i="1" s="1"/>
  <c r="A74" i="1" s="1"/>
  <c r="O34" i="1"/>
  <c r="P34" i="1"/>
  <c r="H34" i="1"/>
  <c r="P33" i="1"/>
  <c r="O33" i="1"/>
  <c r="H33" i="1"/>
  <c r="B22" i="1"/>
  <c r="B24" i="1" s="1"/>
  <c r="B19" i="1"/>
  <c r="E36" i="1" s="1"/>
  <c r="D12" i="1"/>
  <c r="J11" i="1"/>
  <c r="Z58" i="1" s="1"/>
  <c r="I11" i="1"/>
  <c r="Y58" i="1" s="1"/>
  <c r="H11" i="1"/>
  <c r="X58" i="1" s="1"/>
  <c r="D11" i="1"/>
  <c r="D9" i="1"/>
  <c r="D10" i="1" s="1"/>
  <c r="D8" i="1" s="1"/>
  <c r="K56" i="2" l="1"/>
  <c r="E77" i="2" s="1"/>
  <c r="J67" i="2"/>
  <c r="D77" i="2" s="1"/>
  <c r="O67" i="2"/>
  <c r="I35" i="2"/>
  <c r="A75" i="2" s="1"/>
  <c r="I37" i="2"/>
  <c r="A77" i="2" s="1"/>
  <c r="I38" i="2"/>
  <c r="A78" i="2" s="1"/>
  <c r="Q38" i="2"/>
  <c r="O66" i="2"/>
  <c r="D13" i="2"/>
  <c r="I36" i="2"/>
  <c r="A76" i="2" s="1"/>
  <c r="E37" i="2"/>
  <c r="D14" i="2"/>
  <c r="K57" i="2"/>
  <c r="E78" i="2" s="1"/>
  <c r="J68" i="2"/>
  <c r="D78" i="2" s="1"/>
  <c r="AC78" i="2" s="1"/>
  <c r="Q35" i="2"/>
  <c r="R35" i="2" s="1"/>
  <c r="P53" i="2"/>
  <c r="Q37" i="2"/>
  <c r="R75" i="2"/>
  <c r="S76" i="2" s="1"/>
  <c r="Q33" i="2"/>
  <c r="R33" i="2" s="1"/>
  <c r="E34" i="2"/>
  <c r="Q34" i="2"/>
  <c r="R34" i="2" s="1"/>
  <c r="P57" i="2"/>
  <c r="P55" i="2"/>
  <c r="F75" i="2"/>
  <c r="G76" i="2" s="1"/>
  <c r="F77" i="2"/>
  <c r="G78" i="2" s="1"/>
  <c r="I77" i="2" s="1"/>
  <c r="I34" i="2"/>
  <c r="A74" i="2" s="1"/>
  <c r="AN73" i="2" s="1"/>
  <c r="J12" i="2" s="1"/>
  <c r="Z60" i="2" s="1"/>
  <c r="K58" i="2"/>
  <c r="R76" i="1"/>
  <c r="E37" i="1"/>
  <c r="J64" i="1"/>
  <c r="D74" i="1" s="1"/>
  <c r="I37" i="1"/>
  <c r="A76" i="1" s="1"/>
  <c r="O66" i="1"/>
  <c r="K56" i="1"/>
  <c r="E77" i="1" s="1"/>
  <c r="R77" i="1"/>
  <c r="S77" i="1"/>
  <c r="Q38" i="1"/>
  <c r="R38" i="1" s="1"/>
  <c r="R74" i="1"/>
  <c r="S75" i="1" s="1"/>
  <c r="Q35" i="1"/>
  <c r="P57" i="1"/>
  <c r="AV72" i="1" s="1"/>
  <c r="H14" i="1" s="1"/>
  <c r="X61" i="1" s="1"/>
  <c r="J68" i="1"/>
  <c r="O68" i="1"/>
  <c r="J62" i="1"/>
  <c r="D72" i="1" s="1"/>
  <c r="AD72" i="1" s="1"/>
  <c r="AE73" i="1" s="1"/>
  <c r="AU72" i="1"/>
  <c r="H13" i="1"/>
  <c r="X60" i="1" s="1"/>
  <c r="AD74" i="1"/>
  <c r="AE75" i="1" s="1"/>
  <c r="O63" i="1"/>
  <c r="Q37" i="1"/>
  <c r="R37" i="1" s="1"/>
  <c r="I38" i="1"/>
  <c r="A77" i="1" s="1"/>
  <c r="K54" i="1"/>
  <c r="E75" i="1" s="1"/>
  <c r="AQ72" i="1" s="1"/>
  <c r="J14" i="1" s="1"/>
  <c r="Z61" i="1" s="1"/>
  <c r="K51" i="1"/>
  <c r="E72" i="1" s="1"/>
  <c r="P54" i="1"/>
  <c r="K55" i="1"/>
  <c r="E76" i="1" s="1"/>
  <c r="D13" i="1"/>
  <c r="D14" i="1" s="1"/>
  <c r="F77" i="1"/>
  <c r="F74" i="1"/>
  <c r="G75" i="1" s="1"/>
  <c r="I33" i="1"/>
  <c r="A72" i="1" s="1"/>
  <c r="P56" i="1"/>
  <c r="Q33" i="1"/>
  <c r="R33" i="1" s="1"/>
  <c r="I34" i="1"/>
  <c r="A73" i="1" s="1"/>
  <c r="AH72" i="1" s="1"/>
  <c r="K57" i="1"/>
  <c r="J67" i="1"/>
  <c r="D77" i="1" s="1"/>
  <c r="AD77" i="1" s="1"/>
  <c r="P52" i="1"/>
  <c r="Q36" i="1"/>
  <c r="K53" i="1"/>
  <c r="E74" i="1" s="1"/>
  <c r="H10" i="2"/>
  <c r="AV73" i="2"/>
  <c r="U76" i="1"/>
  <c r="AC74" i="2"/>
  <c r="AD75" i="2" s="1"/>
  <c r="AC73" i="2"/>
  <c r="H10" i="1"/>
  <c r="X57" i="1" s="1"/>
  <c r="AW72" i="1"/>
  <c r="R74" i="2"/>
  <c r="S75" i="2" s="1"/>
  <c r="R73" i="2"/>
  <c r="R38" i="2"/>
  <c r="R37" i="2"/>
  <c r="F73" i="2"/>
  <c r="F74" i="2"/>
  <c r="G75" i="2" s="1"/>
  <c r="Q34" i="1"/>
  <c r="R34" i="1" s="1"/>
  <c r="AD76" i="1"/>
  <c r="AP72" i="1"/>
  <c r="J13" i="1" s="1"/>
  <c r="Z60" i="1" s="1"/>
  <c r="R72" i="1"/>
  <c r="R73" i="1"/>
  <c r="S74" i="1" s="1"/>
  <c r="G77" i="1"/>
  <c r="I77" i="1" s="1"/>
  <c r="AC77" i="2"/>
  <c r="R76" i="2"/>
  <c r="S77" i="2" s="1"/>
  <c r="U78" i="2" s="1"/>
  <c r="AO73" i="2"/>
  <c r="J13" i="2" s="1"/>
  <c r="Z61" i="2" s="1"/>
  <c r="AC75" i="2"/>
  <c r="AD76" i="2" s="1"/>
  <c r="AD77" i="2"/>
  <c r="U77" i="1"/>
  <c r="R36" i="1"/>
  <c r="R35" i="1"/>
  <c r="AD75" i="1"/>
  <c r="AE76" i="1" s="1"/>
  <c r="F73" i="1"/>
  <c r="G74" i="1" s="1"/>
  <c r="F72" i="1"/>
  <c r="H13" i="2"/>
  <c r="X61" i="2" s="1"/>
  <c r="AT73" i="2"/>
  <c r="F78" i="2"/>
  <c r="E33" i="2"/>
  <c r="E35" i="1"/>
  <c r="AD73" i="1"/>
  <c r="AE74" i="1" s="1"/>
  <c r="I33" i="2"/>
  <c r="A73" i="2" s="1"/>
  <c r="E35" i="2"/>
  <c r="Q36" i="2"/>
  <c r="R36" i="2" s="1"/>
  <c r="E34" i="1"/>
  <c r="E36" i="2"/>
  <c r="E38" i="1"/>
  <c r="E33" i="1"/>
  <c r="I76" i="2" l="1"/>
  <c r="AG73" i="2"/>
  <c r="AD78" i="2"/>
  <c r="AF77" i="2" s="1"/>
  <c r="U76" i="2"/>
  <c r="U75" i="1"/>
  <c r="AE72" i="1"/>
  <c r="AG74" i="1"/>
  <c r="AE77" i="1"/>
  <c r="I75" i="1"/>
  <c r="AG77" i="1"/>
  <c r="AG73" i="1"/>
  <c r="AG72" i="1"/>
  <c r="AD74" i="2"/>
  <c r="AF75" i="2" s="1"/>
  <c r="AD73" i="2"/>
  <c r="D15" i="1"/>
  <c r="AT72" i="1" s="1"/>
  <c r="H12" i="1" s="1"/>
  <c r="X59" i="1" s="1"/>
  <c r="X58" i="2"/>
  <c r="G73" i="2"/>
  <c r="G74" i="2"/>
  <c r="I75" i="2" s="1"/>
  <c r="AG75" i="1"/>
  <c r="S73" i="1"/>
  <c r="U74" i="1" s="1"/>
  <c r="S72" i="1"/>
  <c r="AG76" i="1"/>
  <c r="I76" i="1"/>
  <c r="G72" i="1"/>
  <c r="G73" i="1"/>
  <c r="I74" i="1" s="1"/>
  <c r="I78" i="2"/>
  <c r="AF76" i="2"/>
  <c r="AF78" i="2"/>
  <c r="S73" i="2"/>
  <c r="S74" i="2"/>
  <c r="U75" i="2" s="1"/>
  <c r="U77" i="2"/>
  <c r="U73" i="2" l="1"/>
  <c r="U74" i="2"/>
  <c r="AF74" i="2"/>
  <c r="AF73" i="2"/>
  <c r="I72" i="1"/>
  <c r="I73" i="1"/>
  <c r="U72" i="1"/>
  <c r="U73" i="1"/>
  <c r="I74" i="2"/>
  <c r="I73" i="2"/>
  <c r="AJ72" i="1"/>
  <c r="AL72" i="1" s="1"/>
  <c r="AN72" i="1" s="1"/>
  <c r="AI72" i="1"/>
  <c r="K72" i="1" l="1"/>
  <c r="N72" i="1" s="1"/>
  <c r="J72" i="1"/>
  <c r="M72" i="1" s="1"/>
  <c r="L72" i="1"/>
  <c r="O72" i="1" s="1"/>
  <c r="AI73" i="2"/>
  <c r="AK73" i="2" s="1"/>
  <c r="AM73" i="2" s="1"/>
  <c r="AH73" i="2"/>
  <c r="W73" i="2"/>
  <c r="Z73" i="2" s="1"/>
  <c r="I13" i="2" s="1"/>
  <c r="Y61" i="2" s="1"/>
  <c r="X73" i="2"/>
  <c r="AA73" i="2" s="1"/>
  <c r="I14" i="2" s="1"/>
  <c r="Y62" i="2" s="1"/>
  <c r="V73" i="2"/>
  <c r="Y73" i="2" s="1"/>
  <c r="I12" i="2" s="1"/>
  <c r="Y60" i="2" s="1"/>
  <c r="K73" i="2"/>
  <c r="N73" i="2" s="1"/>
  <c r="J73" i="2"/>
  <c r="M73" i="2" s="1"/>
  <c r="L73" i="2"/>
  <c r="O73" i="2" s="1"/>
  <c r="W72" i="1"/>
  <c r="Z72" i="1" s="1"/>
  <c r="I13" i="1" s="1"/>
  <c r="Y60" i="1" s="1"/>
  <c r="V72" i="1"/>
  <c r="Y72" i="1" s="1"/>
  <c r="I12" i="1" s="1"/>
  <c r="Y59" i="1" s="1"/>
  <c r="X72" i="1"/>
  <c r="AA72" i="1" s="1"/>
  <c r="I14" i="1" s="1"/>
  <c r="Y6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tc={35DC48EE-9D3C-4C64-8544-E5CBBF7DF61F}</author>
    <author>tc={9D8E0F67-152D-40C0-883B-73749856DC6F}</author>
    <author>tc={842DDC76-E6F7-4549-BA5D-6ECD568E8175}</author>
    <author>Parnia Behbahani (CTR)</author>
    <author>tc={2378111D-0D32-44F9-B0BA-F76F076024A6}</author>
    <author>tc={AB13D988-7287-4E67-BB0F-BC4E4F5E77D1}</author>
  </authors>
  <commentList>
    <comment ref="B12" authorId="0" shapeId="0" xr:uid="{35DC48EE-9D3C-4C64-8544-E5CBBF7DF61F}">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9D8E0F67-152D-40C0-883B-73749856DC6F}">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842DDC76-E6F7-4549-BA5D-6ECD568E8175}">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1" authorId="3" shapeId="0" xr:uid="{92357FA5-0A38-42BC-B7AC-8EEC9B4C57E1}">
      <text>
        <r>
          <rPr>
            <sz val="11"/>
            <color theme="1"/>
            <rFont val="Aptos Narrow"/>
            <family val="2"/>
            <scheme val="minor"/>
          </rPr>
          <t>Parnia Behbahani (CTR):
the color of supernatant for fist sample is dark.</t>
        </r>
      </text>
    </comment>
    <comment ref="D50" authorId="4" shapeId="0" xr:uid="{2378111D-0D32-44F9-B0BA-F76F076024A6}">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AB13D988-7287-4E67-BB0F-BC4E4F5E77D1}">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tc={54830D31-DD0D-4563-8746-B624894E80D2}</author>
    <author>tc={206E73B0-9386-447B-8C52-76F1135A40BD}</author>
    <author>tc={C9078BF2-9038-43D6-B293-D948E87DA79B}</author>
    <author>Parnia Behbahani (CTR)</author>
    <author>tc={09884B8A-915B-42E4-9F0F-96FA49FFB4CC}</author>
    <author>tc={12FC0E89-233F-421B-87AE-0C9105CF8D4F}</author>
    <author>Hua G. Chieu (CTR)</author>
  </authors>
  <commentList>
    <comment ref="B12" authorId="0" shapeId="0" xr:uid="{54830D31-DD0D-4563-8746-B624894E80D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206E73B0-9386-447B-8C52-76F1135A40BD}">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C9078BF2-9038-43D6-B293-D948E87DA79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56639907-075C-4C75-BFEA-3A6F8FD629DB}">
      <text>
        <r>
          <rPr>
            <sz val="11"/>
            <color theme="1"/>
            <rFont val="Aptos Narrow"/>
            <family val="2"/>
            <scheme val="minor"/>
          </rPr>
          <t>Parnia Behbahani (CTR):
the color of supernatant for fist sample is dark.</t>
        </r>
      </text>
    </comment>
    <comment ref="D50" authorId="4" shapeId="0" xr:uid="{09884B8A-915B-42E4-9F0F-96FA49FFB4CC}">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12FC0E89-233F-421B-87AE-0C9105CF8D4F}">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BB0F85F1-62A8-49FB-BDB8-BBFEE7ABE527}">
      <text>
        <r>
          <rPr>
            <sz val="11"/>
            <color theme="1"/>
            <rFont val="Aptos Narrow"/>
            <family val="2"/>
            <scheme val="minor"/>
          </rPr>
          <t xml:space="preserve">Hua G. Chieu (CTR):
Average of all Cake TS after OPD point. </t>
        </r>
      </text>
    </comment>
    <comment ref="AE98" authorId="6" shapeId="0" xr:uid="{D27256BE-741B-4D13-B7C9-7DE47B20D755}">
      <text>
        <r>
          <rPr>
            <sz val="11"/>
            <color theme="1"/>
            <rFont val="Aptos Narrow"/>
            <family val="2"/>
            <scheme val="minor"/>
          </rPr>
          <t xml:space="preserve">Hua G. Chieu (CTR):
Stdev of all Cake TS after OPD point. </t>
        </r>
      </text>
    </comment>
    <comment ref="AE99" authorId="6" shapeId="0" xr:uid="{75AAC4C6-4E6A-405C-8088-E935E8EAB5D8}">
      <text>
        <r>
          <rPr>
            <sz val="11"/>
            <color theme="1"/>
            <rFont val="Aptos Narrow"/>
            <family val="2"/>
            <scheme val="minor"/>
          </rPr>
          <t xml:space="preserve">Hua G. Chieu (CTR):
If stdev &lt; 10% error, then optimal cake TS = avg - stdev of the cake TS after OPD point
</t>
        </r>
      </text>
    </comment>
    <comment ref="AE103" authorId="6" shapeId="0" xr:uid="{B6F54D08-27B8-4802-959C-8F37B79F511E}">
      <text>
        <r>
          <rPr>
            <sz val="11"/>
            <color theme="1"/>
            <rFont val="Aptos Narrow"/>
            <family val="2"/>
            <scheme val="minor"/>
          </rPr>
          <t xml:space="preserve">Hua G. Chieu (CTR):
% error of stdev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tc={623617F5-F16F-408F-81A0-FC42797D80C8}</author>
    <author>tc={486DE866-C3B9-46C6-B72D-139B3A919AB2}</author>
    <author>tc={51C0F9A3-52F5-4A47-9590-3E3975A767DB}</author>
    <author>Parnia Behbahani (CTR)</author>
    <author>tc={3EA4C2B6-600E-4E4C-BA2A-08FA4BF43468}</author>
    <author>tc={9606A433-6E37-41B9-9B8A-81634C89778C}</author>
    <author>Hua G. Chieu (CTR)</author>
  </authors>
  <commentList>
    <comment ref="B12" authorId="0" shapeId="0" xr:uid="{623617F5-F16F-408F-81A0-FC42797D80C8}">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486DE866-C3B9-46C6-B72D-139B3A919AB2}">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51C0F9A3-52F5-4A47-9590-3E3975A767DB}">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2" authorId="3" shapeId="0" xr:uid="{908D6FB8-EEB5-4EED-8415-BC377659B921}">
      <text>
        <r>
          <rPr>
            <sz val="11"/>
            <color theme="1"/>
            <rFont val="Aptos Narrow"/>
            <family val="2"/>
            <scheme val="minor"/>
          </rPr>
          <t>Parnia Behbahani (CTR):
the color of supernatant for fist sample is dark.</t>
        </r>
      </text>
    </comment>
    <comment ref="D50" authorId="4" shapeId="0" xr:uid="{3EA4C2B6-600E-4E4C-BA2A-08FA4BF43468}">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1" authorId="5" shapeId="0" xr:uid="{9606A433-6E37-41B9-9B8A-81634C89778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7" authorId="6" shapeId="0" xr:uid="{7E3D22D3-A7DB-4B70-B4FF-ABBE819A6B3C}">
      <text>
        <r>
          <rPr>
            <sz val="11"/>
            <color theme="1"/>
            <rFont val="Aptos Narrow"/>
            <family val="2"/>
            <scheme val="minor"/>
          </rPr>
          <t xml:space="preserve">Hua G. Chieu (CTR):
Average of all Cake TS after OPD point. </t>
        </r>
      </text>
    </comment>
    <comment ref="AE98" authorId="6" shapeId="0" xr:uid="{1BA26616-D804-4858-9399-65753B57EDDE}">
      <text>
        <r>
          <rPr>
            <sz val="11"/>
            <color theme="1"/>
            <rFont val="Aptos Narrow"/>
            <family val="2"/>
            <scheme val="minor"/>
          </rPr>
          <t xml:space="preserve">Hua G. Chieu (CTR):
Stdev of all Cake TS after OPD point. </t>
        </r>
      </text>
    </comment>
    <comment ref="AE99" authorId="6" shapeId="0" xr:uid="{C480B1CF-97A1-4F10-BD77-6698D77A627D}">
      <text>
        <r>
          <rPr>
            <sz val="11"/>
            <color theme="1"/>
            <rFont val="Aptos Narrow"/>
            <family val="2"/>
            <scheme val="minor"/>
          </rPr>
          <t xml:space="preserve">Hua G. Chieu (CTR):
If stdev &lt; 10% error, then optimal cake TS = avg - stdev of the cake TS after OPD point
</t>
        </r>
      </text>
    </comment>
    <comment ref="AE103" authorId="6" shapeId="0" xr:uid="{DA878593-6C7D-41A0-9044-733FC3246B88}">
      <text>
        <r>
          <rPr>
            <sz val="11"/>
            <color theme="1"/>
            <rFont val="Aptos Narrow"/>
            <family val="2"/>
            <scheme val="minor"/>
          </rPr>
          <t xml:space="preserve">Hua G. Chieu (CTR):
% error of stdev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0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0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0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0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0" authorId="0" shapeId="0" xr:uid="{00000000-0006-0000-00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1" authorId="0" shapeId="0" xr:uid="{00000000-0006-0000-00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32" authorId="0" shapeId="0" xr:uid="{00000000-0006-0000-01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r>
      </text>
    </comment>
    <comment ref="D32" authorId="0" shapeId="0" xr:uid="{00000000-0006-0000-01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Sub-sample weight 
</t>
        </r>
      </text>
    </comment>
    <comment ref="D41" authorId="0" shapeId="0" xr:uid="{00000000-0006-0000-01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readings</t>
        </r>
      </text>
    </comment>
    <comment ref="I41" authorId="0" shapeId="0" xr:uid="{00000000-0006-0000-01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Take min 3 reading
Extra slots are given for outliers</t>
        </r>
      </text>
    </comment>
    <comment ref="D51" authorId="0" shapeId="0" xr:uid="{00000000-0006-0000-01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r>
      </text>
    </comment>
    <comment ref="D62" authorId="0" shapeId="0" xr:uid="{00000000-0006-0000-01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Sample + Tray weight &gt;= 5g</t>
        </r>
      </text>
    </comment>
  </commentList>
</comments>
</file>

<file path=xl/sharedStrings.xml><?xml version="1.0" encoding="utf-8"?>
<sst xmlns="http://schemas.openxmlformats.org/spreadsheetml/2006/main" count="1154" uniqueCount="210">
  <si>
    <t>General guidelines:</t>
  </si>
  <si>
    <t xml:space="preserve"> fill in blue cells</t>
  </si>
  <si>
    <t>other cells are calculated</t>
  </si>
  <si>
    <t>Bench Scale Dewatering test Summary - 05/28/2024</t>
  </si>
  <si>
    <t>Plant Data Conversion</t>
  </si>
  <si>
    <t>Summary Table</t>
  </si>
  <si>
    <t>Belt No.</t>
  </si>
  <si>
    <t>A4</t>
  </si>
  <si>
    <t>Poly Loading (lb)</t>
  </si>
  <si>
    <t>batch testing</t>
  </si>
  <si>
    <t>Poly Ratio</t>
  </si>
  <si>
    <t>Floc Poly Flow (gpm)</t>
  </si>
  <si>
    <t>unit</t>
  </si>
  <si>
    <t>Plant</t>
  </si>
  <si>
    <t>OPD</t>
  </si>
  <si>
    <t>EPD</t>
  </si>
  <si>
    <t>Sludge Flow (gpm)</t>
  </si>
  <si>
    <t>Poly Floc Flow (mgd)</t>
  </si>
  <si>
    <t>BFP TS</t>
  </si>
  <si>
    <t>%TS</t>
  </si>
  <si>
    <t xml:space="preserve">Polymer sol. </t>
  </si>
  <si>
    <t>Sludge Flow(mgd)</t>
  </si>
  <si>
    <t>Polymer ratio setting</t>
  </si>
  <si>
    <t>-</t>
  </si>
  <si>
    <t>SBT3 TS % LAB_TSPCT_J04</t>
  </si>
  <si>
    <t>Calculated BFP TS (%)</t>
  </si>
  <si>
    <t>Polymer dose</t>
  </si>
  <si>
    <t>lb/tonTS</t>
  </si>
  <si>
    <t>BFP TS %</t>
  </si>
  <si>
    <t>BFP Sludge Loading (dtpd)</t>
  </si>
  <si>
    <t>Cake TS</t>
  </si>
  <si>
    <t>DIG SLDG FLOW  FROM SBT (gpm)</t>
  </si>
  <si>
    <t>Plant Polydose (Ib/ton) - method 1</t>
  </si>
  <si>
    <t>Filtrate TSS</t>
  </si>
  <si>
    <t>mg TSS/L</t>
  </si>
  <si>
    <t>DIL WTR FLOW TO BFP (gpm)</t>
  </si>
  <si>
    <t>Plant Polydose (Ib/ton) - method 2</t>
  </si>
  <si>
    <t xml:space="preserve">Assumptions and Constants: </t>
  </si>
  <si>
    <t>1 g =</t>
  </si>
  <si>
    <t>lb</t>
  </si>
  <si>
    <t>ton</t>
  </si>
  <si>
    <t>Cup Diameter</t>
  </si>
  <si>
    <t>inches</t>
  </si>
  <si>
    <t xml:space="preserve">Cup Area: </t>
  </si>
  <si>
    <r>
      <rPr>
        <sz val="12"/>
        <color theme="1"/>
        <rFont val="Aptos Narrow"/>
        <family val="2"/>
        <charset val="1"/>
      </rPr>
      <t>m</t>
    </r>
    <r>
      <rPr>
        <vertAlign val="superscript"/>
        <sz val="12"/>
        <color theme="1"/>
        <rFont val="Aptos Narrow"/>
        <family val="2"/>
        <charset val="1"/>
      </rPr>
      <t>2</t>
    </r>
  </si>
  <si>
    <r>
      <rPr>
        <sz val="12"/>
        <color theme="1"/>
        <rFont val="Aptos Narrow"/>
        <family val="2"/>
        <charset val="1"/>
      </rPr>
      <t>Aiming for 0.80 kg of DS per m</t>
    </r>
    <r>
      <rPr>
        <vertAlign val="superscript"/>
        <sz val="12"/>
        <color theme="1"/>
        <rFont val="Aptos Narrow"/>
        <family val="2"/>
        <charset val="1"/>
      </rPr>
      <t>2</t>
    </r>
    <r>
      <rPr>
        <sz val="12"/>
        <color theme="1"/>
        <rFont val="Aptos Narrow"/>
        <family val="2"/>
        <charset val="1"/>
      </rPr>
      <t xml:space="preserve"> of cup area</t>
    </r>
  </si>
  <si>
    <t>Cup Loading</t>
  </si>
  <si>
    <t>grams of DS</t>
  </si>
  <si>
    <t>Assuming</t>
  </si>
  <si>
    <t>TS in sludge</t>
  </si>
  <si>
    <t>Assuming 100% Capture in free drainage</t>
  </si>
  <si>
    <t>Polymer Solution</t>
  </si>
  <si>
    <t>Plains Target DS</t>
  </si>
  <si>
    <t>4 to 7</t>
  </si>
  <si>
    <t>kg DS/m</t>
  </si>
  <si>
    <t>Calculation</t>
  </si>
  <si>
    <t>Sample #</t>
  </si>
  <si>
    <t>Polymer Dose
 (lb polymer/
ton sludge)</t>
  </si>
  <si>
    <t>Actual Belt Filter Press before PD TS (%)</t>
  </si>
  <si>
    <t>Sludge Weight
 (g)</t>
  </si>
  <si>
    <t>Calculation Polymer Added(g)</t>
  </si>
  <si>
    <t>Polymer Before (g)</t>
  </si>
  <si>
    <t>Poymer after
(g)</t>
  </si>
  <si>
    <t>Actual Polymer Added (g)</t>
  </si>
  <si>
    <t>Actual Polymer Added (lb/ton)</t>
  </si>
  <si>
    <t>Sieve 
Weight (g)</t>
  </si>
  <si>
    <t>Bucket Weight (g)</t>
  </si>
  <si>
    <t>Sieve + Wet Solids Weight (g)</t>
  </si>
  <si>
    <t>Bucket + Filtrate (g)</t>
  </si>
  <si>
    <t>Capture Efficiency (%)</t>
  </si>
  <si>
    <t>Filtered Solids (g)</t>
  </si>
  <si>
    <t>Filtrate (g)</t>
  </si>
  <si>
    <t>Estimated TS% of Wet Solids on frabic</t>
  </si>
  <si>
    <t>Target WS in Cup (g)</t>
  </si>
  <si>
    <t>CST Table</t>
  </si>
  <si>
    <t>CST  Sludge (Avrg)</t>
  </si>
  <si>
    <t>CST  Supernatant (Avrg)</t>
  </si>
  <si>
    <t xml:space="preserve">CST Sludge </t>
  </si>
  <si>
    <t>CST Supernatant</t>
  </si>
  <si>
    <t>Summary - 05 - 03 - 2024</t>
  </si>
  <si>
    <t>Trend over time</t>
  </si>
  <si>
    <t>Target table</t>
  </si>
  <si>
    <t>TSS - VSS</t>
  </si>
  <si>
    <t>Filtrate TS</t>
  </si>
  <si>
    <t>Sample ID/#</t>
  </si>
  <si>
    <t>Foil Tray+Filter Weight (g ) #1</t>
  </si>
  <si>
    <t>Foil Tray+Filter Weight (g ) #2</t>
  </si>
  <si>
    <t>Sample Volume (ml) #1</t>
  </si>
  <si>
    <t>Sample Volume (ml) #2</t>
  </si>
  <si>
    <t>After 103 °C #1</t>
  </si>
  <si>
    <t>After 103 °C #2</t>
  </si>
  <si>
    <t>Dilution Factor</t>
  </si>
  <si>
    <t>TSS-1</t>
  </si>
  <si>
    <t>TSS-2</t>
  </si>
  <si>
    <t>TSS (g TSS/L)</t>
  </si>
  <si>
    <t>After 550 °C #1</t>
  </si>
  <si>
    <t>After 550 °C #2</t>
  </si>
  <si>
    <t>VSS-1 (%)</t>
  </si>
  <si>
    <t>VSS-2 (%)</t>
  </si>
  <si>
    <t>VSS (%)</t>
  </si>
  <si>
    <t>Unit</t>
  </si>
  <si>
    <t>%</t>
  </si>
  <si>
    <t>3 - 3.9</t>
  </si>
  <si>
    <t>&lt;= 812</t>
  </si>
  <si>
    <t>Plant Filterate</t>
  </si>
  <si>
    <t>.</t>
  </si>
  <si>
    <t>vol/vol</t>
  </si>
  <si>
    <t>TS - VS</t>
  </si>
  <si>
    <t>Foil Tray  (g) #1</t>
  </si>
  <si>
    <t>Foil Tray (g) #2</t>
  </si>
  <si>
    <t>Tray +Sample (g) #1</t>
  </si>
  <si>
    <t>Tray + Sample (g) #2</t>
  </si>
  <si>
    <t>TS-1 (%)</t>
  </si>
  <si>
    <t>TS-2 (%)</t>
  </si>
  <si>
    <t>TS (%)</t>
  </si>
  <si>
    <t>VS-1 (%)</t>
  </si>
  <si>
    <t>VS-2 (%)</t>
  </si>
  <si>
    <t>VS (%)</t>
  </si>
  <si>
    <t>Plant Cake</t>
  </si>
  <si>
    <t>Sludge</t>
  </si>
  <si>
    <t>CST Supernatant (second)</t>
  </si>
  <si>
    <t>CST Sludge
(second)</t>
  </si>
  <si>
    <t>Lab Cake TS
(%)</t>
  </si>
  <si>
    <t>Lab Filtrate TSS
(mg TSS/L)</t>
  </si>
  <si>
    <t>Ave</t>
  </si>
  <si>
    <t>Diff</t>
  </si>
  <si>
    <t>Tolerance
(%)</t>
  </si>
  <si>
    <t>1 or 2</t>
  </si>
  <si>
    <t>OPD
(lb/ton)</t>
  </si>
  <si>
    <t>OPD Cake TS
(%)</t>
  </si>
  <si>
    <t>OPD Filtrate TSS
(mg TSS/L)</t>
  </si>
  <si>
    <t>Manual check</t>
  </si>
  <si>
    <t>Note:
Based on Supernatant</t>
  </si>
  <si>
    <t>Note:
Based on Sludge</t>
  </si>
  <si>
    <t>EOPD Checked with Cake TS
(lb/ton)</t>
  </si>
  <si>
    <t>EOPD Cake TS
(%)</t>
  </si>
  <si>
    <t>EOPD Filtrate TSS
(mg TSS/L)</t>
  </si>
  <si>
    <t>Target
 Fiftrate TSS
(mg TSS/L)</t>
  </si>
  <si>
    <t>EOPD checked with Filtrate TSS 
(lb/ton)</t>
  </si>
  <si>
    <t>Check filtrate condition</t>
  </si>
  <si>
    <t xml:space="preserve">1 or 2
</t>
  </si>
  <si>
    <t>Manual check (yes/No)</t>
  </si>
  <si>
    <t>Note</t>
  </si>
  <si>
    <t>Grab Plant PD
(lb/Ton)</t>
  </si>
  <si>
    <t>Plant Cake TS
(%)</t>
  </si>
  <si>
    <t>Plant Filtrate
(mg TSS/L)</t>
  </si>
  <si>
    <t>Lab DW Feed TS (%)</t>
  </si>
  <si>
    <t>yes</t>
  </si>
  <si>
    <t>Bench Scale Dewatering test Summary - 05/21/2024</t>
  </si>
  <si>
    <t>A3</t>
  </si>
  <si>
    <t>Bench Scale Dewatering test Summary - 02/07/2025</t>
  </si>
  <si>
    <t>Shampling time</t>
  </si>
  <si>
    <t>Data QAQC Name</t>
  </si>
  <si>
    <t>Data QAQC (yes/No)</t>
  </si>
  <si>
    <t>Comment</t>
  </si>
  <si>
    <t>Notes: first round, we'll do the QA/AC with first 25 tabs</t>
  </si>
  <si>
    <t>A2</t>
  </si>
  <si>
    <t>Parnia</t>
  </si>
  <si>
    <t xml:space="preserve">from the tab 2_21_2025 to 8_20_2024 </t>
  </si>
  <si>
    <t>Hung Chieu</t>
  </si>
  <si>
    <t>Tu Duong</t>
  </si>
  <si>
    <t>Test Details</t>
  </si>
  <si>
    <t>Nam Ngo</t>
  </si>
  <si>
    <t>Haydee</t>
  </si>
  <si>
    <t xml:space="preserve">Sampling time </t>
  </si>
  <si>
    <t xml:space="preserve">Analyzer </t>
  </si>
  <si>
    <t>Hung and Tu</t>
  </si>
  <si>
    <t xml:space="preserve">&lt; 812 </t>
  </si>
  <si>
    <t>Details</t>
  </si>
  <si>
    <r>
      <t>m</t>
    </r>
    <r>
      <rPr>
        <vertAlign val="superscript"/>
        <sz val="12"/>
        <color theme="1"/>
        <rFont val="Aptos Narrow"/>
        <family val="2"/>
        <scheme val="minor"/>
      </rPr>
      <t>2</t>
    </r>
  </si>
  <si>
    <r>
      <t>Aiming for 0.80 kg of DS per m</t>
    </r>
    <r>
      <rPr>
        <vertAlign val="superscript"/>
        <sz val="12"/>
        <color theme="1"/>
        <rFont val="Aptos Narrow"/>
        <family val="2"/>
        <scheme val="minor"/>
      </rPr>
      <t>2</t>
    </r>
    <r>
      <rPr>
        <sz val="12"/>
        <color theme="1"/>
        <rFont val="Aptos Narrow"/>
        <family val="2"/>
        <scheme val="minor"/>
      </rPr>
      <t xml:space="preserve"> of cup area</t>
    </r>
  </si>
  <si>
    <t>Remarks:</t>
  </si>
  <si>
    <t xml:space="preserve">CST  Sludge </t>
  </si>
  <si>
    <t xml:space="preserve"> </t>
  </si>
  <si>
    <t>Additional experiement</t>
  </si>
  <si>
    <t>Foil Tray+Filter Weight (g ) #3</t>
  </si>
  <si>
    <t>Foil Tray  (g) #3</t>
  </si>
  <si>
    <t>Tray +Sample (g) #3</t>
  </si>
  <si>
    <t>After 103 °C #3</t>
  </si>
  <si>
    <t>=</t>
  </si>
  <si>
    <t>EPD Manual Checked with Cake TS
(lb/ton)</t>
  </si>
  <si>
    <t>EPD Manual Cake TS
(%)</t>
  </si>
  <si>
    <t>EPD Manual Filtrate TSS
(mg TSS/L)</t>
  </si>
  <si>
    <t>OPD Manual checked</t>
  </si>
  <si>
    <t>EPD Manual checked</t>
  </si>
  <si>
    <t>`</t>
  </si>
  <si>
    <t>Bench Scale Dewatering test Summary - 03/21/2025</t>
  </si>
  <si>
    <t>B2</t>
  </si>
  <si>
    <t>- Based on the initial a little bit overdosing condition (PD = ~22.28lb/ton)</t>
  </si>
  <si>
    <t>need to decrease the polymer ratio</t>
  </si>
  <si>
    <t>- Based on the graph, the OPD =20.74 &lt; PD</t>
  </si>
  <si>
    <t>Conclusion: Experiment results are consistent with expectations.</t>
  </si>
  <si>
    <t>confirming that reducing polymer improves efficiency.</t>
  </si>
  <si>
    <t>- EPD &lt; OPD &lt; PD</t>
  </si>
  <si>
    <t>- We can achieve cost savings by operating at OPD instead of PD.</t>
  </si>
  <si>
    <t>lb/tons</t>
  </si>
  <si>
    <t>7 Cake</t>
  </si>
  <si>
    <t>7 Filtrate</t>
  </si>
  <si>
    <t>Cake optimal</t>
  </si>
  <si>
    <t>cake optimal (TS)</t>
  </si>
  <si>
    <t>optimal cake</t>
  </si>
  <si>
    <t>EPD determination</t>
  </si>
  <si>
    <t>Haydee's calculations</t>
  </si>
  <si>
    <t>is EPD cake TS &lt; than OPD cake TS or higher?</t>
  </si>
  <si>
    <t>error%</t>
  </si>
  <si>
    <t>(&lt;10% to have valid data for EPD determination)</t>
  </si>
  <si>
    <t>Bench Scale Dewatering test Summary - 02/28/2025</t>
  </si>
  <si>
    <t>- Based on the initial a little bit overdosing condition (PD = ~18.54lb/ton)</t>
  </si>
  <si>
    <t>- Based on the graph, the OPD =16.55 &lt; PD</t>
  </si>
  <si>
    <t>- We can achieve cost savings by operating at EPD instead of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</si>
</sst>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0.0"/>
    <numFmt numFmtId="166" formatCode="0.000"/>
    <numFmt numFmtId="167" formatCode="0.0000"/>
    <numFmt numFmtId="168" formatCode="#,##0.0000"/>
    <numFmt numFmtId="169" formatCode="h:mm;@"/>
  </numFmts>
  <fonts count="59" x14ac:knownFonts="1">
    <font>
      <sz val="11"/>
      <color theme="1"/>
      <name val="Aptos Narrow"/>
      <family val="2"/>
      <charset val="1"/>
    </font>
    <font>
      <sz val="11"/>
      <color theme="1"/>
      <name val="Aptos Narrow"/>
      <family val="2"/>
      <scheme val="minor"/>
    </font>
    <font>
      <sz val="12"/>
      <color rgb="FF000000"/>
      <name val="Calibri"/>
      <family val="2"/>
      <charset val="1"/>
    </font>
    <font>
      <sz val="12"/>
      <color theme="1"/>
      <name val="Aptos Narrow"/>
      <family val="2"/>
      <charset val="1"/>
    </font>
    <font>
      <i/>
      <sz val="12"/>
      <color theme="1"/>
      <name val="Aptos Narrow"/>
      <family val="2"/>
      <charset val="1"/>
    </font>
    <font>
      <b/>
      <sz val="26"/>
      <color theme="1"/>
      <name val="Aptos Narrow"/>
      <family val="2"/>
      <charset val="1"/>
    </font>
    <font>
      <b/>
      <sz val="12"/>
      <color theme="0"/>
      <name val="Aptos Narrow"/>
      <family val="2"/>
      <charset val="1"/>
    </font>
    <font>
      <sz val="12"/>
      <name val="Calibri"/>
      <family val="2"/>
      <charset val="1"/>
    </font>
    <font>
      <sz val="11"/>
      <color rgb="FF000000"/>
      <name val="Aptos Narrow"/>
      <family val="2"/>
      <charset val="1"/>
    </font>
    <font>
      <sz val="12"/>
      <color theme="4"/>
      <name val="Aptos Narrow"/>
      <family val="2"/>
      <charset val="1"/>
    </font>
    <font>
      <b/>
      <sz val="11"/>
      <color rgb="FF000000"/>
      <name val="Aptos Narrow"/>
      <family val="2"/>
      <charset val="1"/>
    </font>
    <font>
      <sz val="12"/>
      <name val="Aptos Narrow"/>
      <family val="2"/>
      <charset val="1"/>
    </font>
    <font>
      <b/>
      <sz val="18"/>
      <color theme="1"/>
      <name val="Aptos Narrow"/>
      <family val="2"/>
      <charset val="1"/>
    </font>
    <font>
      <b/>
      <sz val="12"/>
      <color theme="1"/>
      <name val="Aptos Narrow"/>
      <family val="2"/>
      <charset val="1"/>
    </font>
    <font>
      <vertAlign val="superscript"/>
      <sz val="12"/>
      <color theme="1"/>
      <name val="Aptos Narrow"/>
      <family val="2"/>
      <charset val="1"/>
    </font>
    <font>
      <b/>
      <sz val="14"/>
      <color theme="1"/>
      <name val="Aptos Narrow"/>
      <family val="2"/>
      <charset val="1"/>
    </font>
    <font>
      <sz val="12"/>
      <name val="Times New Roman"/>
      <family val="1"/>
      <charset val="1"/>
    </font>
    <font>
      <sz val="12"/>
      <color rgb="FF000000"/>
      <name val="Aptos Narrow"/>
      <family val="2"/>
      <charset val="1"/>
    </font>
    <font>
      <sz val="12"/>
      <color rgb="FFFF0000"/>
      <name val="Aptos Narrow"/>
      <family val="2"/>
      <charset val="1"/>
    </font>
    <font>
      <b/>
      <sz val="12"/>
      <color rgb="FFFF0000"/>
      <name val="Times New Roman"/>
      <family val="1"/>
      <charset val="1"/>
    </font>
    <font>
      <b/>
      <sz val="12"/>
      <name val="Aptos Narrow"/>
      <family val="2"/>
      <charset val="1"/>
    </font>
    <font>
      <b/>
      <sz val="12"/>
      <color rgb="FF000000"/>
      <name val="Aptos Narrow"/>
      <family val="2"/>
      <charset val="1"/>
    </font>
    <font>
      <i/>
      <sz val="11"/>
      <color theme="1"/>
      <name val="Aptos Narrow"/>
      <family val="2"/>
      <charset val="1"/>
    </font>
    <font>
      <b/>
      <sz val="12"/>
      <color theme="1"/>
      <name val="Times New Roman"/>
      <family val="1"/>
      <charset val="1"/>
    </font>
    <font>
      <b/>
      <sz val="12"/>
      <color theme="5" tint="-0.249977111117893"/>
      <name val="Aptos Narrow"/>
      <family val="2"/>
      <charset val="1"/>
    </font>
    <font>
      <sz val="10"/>
      <name val="Arial"/>
      <family val="2"/>
    </font>
    <font>
      <sz val="11"/>
      <color theme="1"/>
      <name val="Aptos Narrow"/>
      <family val="2"/>
      <charset val="1"/>
    </font>
    <font>
      <sz val="12"/>
      <color theme="1"/>
      <name val="Aptos Narrow"/>
      <family val="2"/>
      <scheme val="minor"/>
    </font>
    <font>
      <i/>
      <sz val="12"/>
      <color theme="1"/>
      <name val="Aptos Narrow"/>
      <family val="2"/>
      <scheme val="minor"/>
    </font>
    <font>
      <b/>
      <sz val="26"/>
      <color theme="1"/>
      <name val="Aptos Narrow"/>
      <family val="2"/>
      <scheme val="minor"/>
    </font>
    <font>
      <b/>
      <sz val="12"/>
      <color theme="0"/>
      <name val="Aptos Narrow"/>
      <family val="2"/>
      <scheme val="minor"/>
    </font>
    <font>
      <sz val="12"/>
      <color theme="4"/>
      <name val="Aptos Narrow"/>
      <family val="2"/>
      <scheme val="minor"/>
    </font>
    <font>
      <sz val="12"/>
      <name val="Calibri"/>
      <family val="2"/>
    </font>
    <font>
      <sz val="11"/>
      <color rgb="FF000000"/>
      <name val="Aptos Narrow"/>
      <family val="2"/>
    </font>
    <font>
      <b/>
      <sz val="12"/>
      <color theme="1"/>
      <name val="Aptos Narrow"/>
      <family val="2"/>
      <scheme val="minor"/>
    </font>
    <font>
      <b/>
      <sz val="11"/>
      <color rgb="FF000000"/>
      <name val="Aptos Narrow"/>
      <family val="2"/>
    </font>
    <font>
      <b/>
      <sz val="20"/>
      <color theme="0"/>
      <name val="Aptos Narrow"/>
      <family val="2"/>
      <scheme val="minor"/>
    </font>
    <font>
      <sz val="12"/>
      <name val="Aptos Narrow"/>
      <family val="2"/>
      <scheme val="minor"/>
    </font>
    <font>
      <b/>
      <sz val="14"/>
      <color theme="0"/>
      <name val="Aptos Narrow"/>
      <family val="2"/>
      <scheme val="minor"/>
    </font>
    <font>
      <sz val="12"/>
      <color rgb="FFFF0000"/>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sz val="14"/>
      <color rgb="FF000000"/>
      <name val="Aptos Narrow"/>
      <family val="2"/>
    </font>
    <font>
      <b/>
      <sz val="14"/>
      <color rgb="FF000000"/>
      <name val="Aptos Narrow"/>
      <family val="2"/>
    </font>
    <font>
      <vertAlign val="superscript"/>
      <sz val="12"/>
      <color theme="1"/>
      <name val="Aptos Narrow"/>
      <family val="2"/>
      <scheme val="minor"/>
    </font>
    <font>
      <sz val="12"/>
      <color rgb="FF000000"/>
      <name val="Aptos Narrow"/>
      <family val="2"/>
      <scheme val="minor"/>
    </font>
    <font>
      <sz val="12"/>
      <name val="Times New Roman"/>
      <family val="1"/>
    </font>
    <font>
      <b/>
      <sz val="12"/>
      <color rgb="FF000000"/>
      <name val="Aptos Narrow"/>
      <family val="2"/>
      <scheme val="minor"/>
    </font>
    <font>
      <i/>
      <sz val="11"/>
      <color theme="1"/>
      <name val="Aptos Narrow"/>
      <family val="2"/>
      <scheme val="minor"/>
    </font>
    <font>
      <b/>
      <sz val="12"/>
      <color rgb="FFFF0000"/>
      <name val="Aptos Narrow"/>
      <family val="2"/>
      <scheme val="minor"/>
    </font>
    <font>
      <b/>
      <sz val="12"/>
      <color theme="1"/>
      <name val="Times New Roman"/>
      <family val="1"/>
    </font>
    <font>
      <b/>
      <sz val="12"/>
      <color theme="5" tint="-0.249977111117893"/>
      <name val="Aptos Narrow"/>
      <family val="2"/>
      <scheme val="minor"/>
    </font>
    <font>
      <sz val="12"/>
      <color rgb="FF000000"/>
      <name val="Aptos Narrow"/>
      <family val="2"/>
    </font>
    <font>
      <sz val="11"/>
      <color rgb="FF242424"/>
      <name val="Aptos Narrow"/>
      <family val="2"/>
    </font>
    <font>
      <sz val="12"/>
      <color rgb="FF242424"/>
      <name val="Aptos Narrow"/>
      <family val="2"/>
    </font>
    <font>
      <b/>
      <sz val="12"/>
      <color rgb="FF000000"/>
      <name val="Aptos Narrow"/>
      <family val="2"/>
    </font>
    <font>
      <sz val="12"/>
      <color rgb="FFFF0000"/>
      <name val="Aptos Narrow"/>
      <family val="2"/>
    </font>
    <font>
      <sz val="12"/>
      <color rgb="FF4EA72E"/>
      <name val="Aptos Narrow"/>
      <family val="2"/>
    </font>
  </fonts>
  <fills count="40">
    <fill>
      <patternFill patternType="none"/>
    </fill>
    <fill>
      <patternFill patternType="gray125"/>
    </fill>
    <fill>
      <patternFill patternType="solid">
        <fgColor theme="2" tint="-9.9978637043366805E-2"/>
        <bgColor rgb="FFD9D9D9"/>
      </patternFill>
    </fill>
    <fill>
      <patternFill patternType="solid">
        <fgColor theme="9" tint="0.39988402966399123"/>
        <bgColor rgb="FF83CBEB"/>
      </patternFill>
    </fill>
    <fill>
      <patternFill patternType="solid">
        <fgColor theme="4" tint="0.59987182226020086"/>
        <bgColor rgb="FF96DCF8"/>
      </patternFill>
    </fill>
    <fill>
      <patternFill patternType="solid">
        <fgColor theme="4"/>
        <bgColor rgb="FF0B76A0"/>
      </patternFill>
    </fill>
    <fill>
      <patternFill patternType="solid">
        <fgColor theme="0"/>
        <bgColor rgb="FFFDEADA"/>
      </patternFill>
    </fill>
    <fill>
      <patternFill patternType="solid">
        <fgColor rgb="FFEC79FF"/>
        <bgColor rgb="FFFF8080"/>
      </patternFill>
    </fill>
    <fill>
      <patternFill patternType="solid">
        <fgColor rgb="FFFDEADA"/>
        <bgColor rgb="FFFBE3D6"/>
      </patternFill>
    </fill>
    <fill>
      <patternFill patternType="solid">
        <fgColor theme="7" tint="0.59987182226020086"/>
        <bgColor rgb="FF83CBEB"/>
      </patternFill>
    </fill>
    <fill>
      <patternFill patternType="solid">
        <fgColor theme="3" tint="0.89989928891872917"/>
        <bgColor rgb="FFD9D9D9"/>
      </patternFill>
    </fill>
    <fill>
      <patternFill patternType="solid">
        <fgColor rgb="FF31FFFA"/>
        <bgColor rgb="FF00FFFF"/>
      </patternFill>
    </fill>
    <fill>
      <patternFill patternType="solid">
        <fgColor rgb="FFFF9831"/>
        <bgColor rgb="FFF2AA84"/>
      </patternFill>
    </fill>
    <fill>
      <patternFill patternType="solid">
        <fgColor theme="5" tint="0.79989013336588644"/>
        <bgColor rgb="FFFDEADA"/>
      </patternFill>
    </fill>
    <fill>
      <patternFill patternType="solid">
        <fgColor theme="5" tint="0.39988402966399123"/>
        <bgColor rgb="FFFF9831"/>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bgColor indexed="64"/>
      </patternFill>
    </fill>
    <fill>
      <patternFill patternType="solid">
        <fgColor rgb="FF83CCEB"/>
        <bgColor rgb="FF000000"/>
      </patternFill>
    </fill>
    <fill>
      <patternFill patternType="solid">
        <fgColor theme="0"/>
        <bgColor indexed="64"/>
      </patternFill>
    </fill>
    <fill>
      <patternFill patternType="solid">
        <fgColor rgb="FFFFFFFF"/>
        <bgColor rgb="FF000000"/>
      </patternFill>
    </fill>
    <fill>
      <patternFill patternType="solid">
        <fgColor theme="7" tint="0.39997558519241921"/>
        <bgColor rgb="FF000000"/>
      </patternFill>
    </fill>
    <fill>
      <patternFill patternType="solid">
        <fgColor theme="4" tint="0.59999389629810485"/>
        <bgColor rgb="FF000000"/>
      </patternFill>
    </fill>
    <fill>
      <patternFill patternType="solid">
        <fgColor rgb="FFEC79FF"/>
        <bgColor indexed="64"/>
      </patternFill>
    </fill>
    <fill>
      <patternFill patternType="solid">
        <fgColor rgb="FFFDEADA"/>
        <bgColor rgb="FFFDEADA"/>
      </patternFill>
    </fill>
    <fill>
      <patternFill patternType="solid">
        <fgColor theme="9" tint="0.39997558519241921"/>
        <bgColor rgb="FFFDEADA"/>
      </patternFill>
    </fill>
    <fill>
      <patternFill patternType="solid">
        <fgColor theme="7" tint="0.59999389629810485"/>
        <bgColor indexed="64"/>
      </patternFill>
    </fill>
    <fill>
      <patternFill patternType="solid">
        <fgColor rgb="FF94DCF8"/>
        <bgColor rgb="FF000000"/>
      </patternFill>
    </fill>
    <fill>
      <patternFill patternType="solid">
        <fgColor rgb="FF31FFFA"/>
        <bgColor rgb="FF00B0F0"/>
      </patternFill>
    </fill>
    <fill>
      <patternFill patternType="solid">
        <fgColor rgb="FFFF9831"/>
        <bgColor rgb="FF00B0F0"/>
      </patternFill>
    </fill>
    <fill>
      <patternFill patternType="solid">
        <fgColor rgb="FFFFC000"/>
        <bgColor indexed="64"/>
      </patternFill>
    </fill>
    <fill>
      <patternFill patternType="solid">
        <fgColor theme="9" tint="0.39997558519241921"/>
        <bgColor rgb="FF000000"/>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D0D0D0"/>
        <bgColor rgb="FF000000"/>
      </patternFill>
    </fill>
  </fills>
  <borders count="9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medium">
        <color auto="1"/>
      </bottom>
      <diagonal/>
    </border>
    <border>
      <left/>
      <right style="medium">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indexed="64"/>
      </left>
      <right/>
      <top style="thin">
        <color indexed="64"/>
      </top>
      <bottom/>
      <diagonal/>
    </border>
    <border>
      <left/>
      <right/>
      <top style="thin">
        <color indexed="64"/>
      </top>
      <bottom/>
      <diagonal/>
    </border>
    <border>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top style="medium">
        <color auto="1"/>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medium">
        <color indexed="64"/>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
    <xf numFmtId="0" fontId="0" fillId="0" borderId="0"/>
    <xf numFmtId="164" fontId="26" fillId="0" borderId="0" applyBorder="0" applyProtection="0"/>
    <xf numFmtId="0" fontId="2" fillId="0" borderId="0"/>
    <xf numFmtId="0" fontId="3" fillId="0" borderId="0"/>
    <xf numFmtId="9" fontId="26" fillId="0" borderId="0" applyBorder="0" applyProtection="0"/>
    <xf numFmtId="0" fontId="26" fillId="0" borderId="0" applyBorder="0" applyProtection="0">
      <alignment horizontal="left"/>
    </xf>
    <xf numFmtId="0" fontId="26" fillId="0" borderId="0" applyBorder="0" applyProtection="0"/>
    <xf numFmtId="0" fontId="26" fillId="0" borderId="0" applyBorder="0" applyProtection="0"/>
    <xf numFmtId="0" fontId="26" fillId="0" borderId="0" applyBorder="0" applyProtection="0"/>
    <xf numFmtId="0" fontId="1" fillId="0" borderId="0"/>
  </cellStyleXfs>
  <cellXfs count="592">
    <xf numFmtId="0" fontId="0" fillId="0" borderId="0" xfId="0"/>
    <xf numFmtId="0" fontId="6" fillId="5" borderId="8" xfId="0" applyFont="1" applyFill="1" applyBorder="1" applyAlignment="1">
      <alignment horizontal="center"/>
    </xf>
    <xf numFmtId="0" fontId="3" fillId="2" borderId="0" xfId="0" applyFont="1" applyFill="1"/>
    <xf numFmtId="0" fontId="3" fillId="3" borderId="1" xfId="0" applyFont="1" applyFill="1" applyBorder="1"/>
    <xf numFmtId="0" fontId="3" fillId="3" borderId="0" xfId="0" applyFont="1" applyFill="1"/>
    <xf numFmtId="0" fontId="3" fillId="3" borderId="2" xfId="0" applyFont="1" applyFill="1" applyBorder="1"/>
    <xf numFmtId="0" fontId="3" fillId="3" borderId="3" xfId="0" applyFont="1" applyFill="1" applyBorder="1"/>
    <xf numFmtId="0" fontId="4" fillId="3" borderId="0" xfId="0" applyFont="1" applyFill="1"/>
    <xf numFmtId="0" fontId="6" fillId="5" borderId="6" xfId="0" applyFont="1" applyFill="1" applyBorder="1" applyAlignment="1">
      <alignment horizontal="center"/>
    </xf>
    <xf numFmtId="0" fontId="6" fillId="5" borderId="7" xfId="0" applyFont="1" applyFill="1" applyBorder="1" applyAlignment="1">
      <alignment horizontal="center"/>
    </xf>
    <xf numFmtId="0" fontId="3" fillId="0" borderId="3" xfId="0" applyFont="1" applyBorder="1" applyAlignment="1">
      <alignment horizontal="center"/>
    </xf>
    <xf numFmtId="0" fontId="7" fillId="4" borderId="8" xfId="0" applyFont="1" applyFill="1" applyBorder="1" applyAlignment="1">
      <alignment horizontal="center"/>
    </xf>
    <xf numFmtId="0" fontId="3" fillId="0" borderId="9" xfId="0" applyFont="1" applyBorder="1" applyAlignment="1">
      <alignment horizontal="center" vertical="center" wrapText="1"/>
    </xf>
    <xf numFmtId="165" fontId="3" fillId="6" borderId="10" xfId="0" applyNumberFormat="1" applyFont="1" applyFill="1" applyBorder="1" applyAlignment="1">
      <alignment horizontal="center"/>
    </xf>
    <xf numFmtId="0" fontId="8" fillId="0" borderId="5"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3" fillId="6" borderId="13" xfId="0" applyFont="1" applyFill="1" applyBorder="1"/>
    <xf numFmtId="0" fontId="3" fillId="6" borderId="2" xfId="0" applyFont="1" applyFill="1" applyBorder="1"/>
    <xf numFmtId="0" fontId="3" fillId="6" borderId="14" xfId="0" applyFont="1" applyFill="1" applyBorder="1"/>
    <xf numFmtId="0" fontId="9" fillId="0" borderId="15" xfId="0" applyFont="1" applyBorder="1" applyAlignment="1">
      <alignment horizontal="center" vertical="center" wrapText="1"/>
    </xf>
    <xf numFmtId="0" fontId="3" fillId="0" borderId="8" xfId="0" applyFont="1" applyBorder="1" applyAlignment="1">
      <alignment horizontal="center" vertical="center" wrapText="1"/>
    </xf>
    <xf numFmtId="2" fontId="3" fillId="6" borderId="16" xfId="0" applyNumberFormat="1" applyFont="1" applyFill="1" applyBorder="1" applyAlignment="1">
      <alignment horizontal="center"/>
    </xf>
    <xf numFmtId="0" fontId="8" fillId="0" borderId="17" xfId="0" applyFont="1" applyBorder="1" applyAlignment="1">
      <alignment horizontal="center" vertical="center"/>
    </xf>
    <xf numFmtId="0" fontId="10" fillId="0" borderId="18" xfId="0" applyFont="1" applyBorder="1" applyAlignment="1">
      <alignment horizontal="center" vertical="center"/>
    </xf>
    <xf numFmtId="0" fontId="3" fillId="6" borderId="19" xfId="0" applyFont="1" applyFill="1" applyBorder="1"/>
    <xf numFmtId="0" fontId="3" fillId="6" borderId="0" xfId="0" applyFont="1" applyFill="1"/>
    <xf numFmtId="0" fontId="3" fillId="6" borderId="20" xfId="0" applyFont="1" applyFill="1" applyBorder="1"/>
    <xf numFmtId="0" fontId="7" fillId="4" borderId="21" xfId="0" applyFont="1" applyFill="1" applyBorder="1" applyAlignment="1">
      <alignment horizontal="center"/>
    </xf>
    <xf numFmtId="0" fontId="8" fillId="0" borderId="18" xfId="0" applyFont="1" applyBorder="1" applyAlignment="1">
      <alignment horizontal="center" vertical="center"/>
    </xf>
    <xf numFmtId="2" fontId="8" fillId="0" borderId="18" xfId="0" applyNumberFormat="1" applyFont="1" applyBorder="1" applyAlignment="1">
      <alignment horizontal="center" vertical="center"/>
    </xf>
    <xf numFmtId="0" fontId="7" fillId="6" borderId="8" xfId="0" applyFont="1" applyFill="1" applyBorder="1" applyAlignment="1">
      <alignment horizontal="center"/>
    </xf>
    <xf numFmtId="166" fontId="8" fillId="0" borderId="18" xfId="0" applyNumberFormat="1" applyFont="1" applyBorder="1" applyAlignment="1">
      <alignment horizontal="center" vertical="center"/>
    </xf>
    <xf numFmtId="0" fontId="11" fillId="6" borderId="8" xfId="0" applyFont="1" applyFill="1" applyBorder="1" applyAlignment="1">
      <alignment horizontal="center"/>
    </xf>
    <xf numFmtId="167" fontId="3" fillId="6" borderId="16" xfId="0" applyNumberFormat="1" applyFont="1" applyFill="1" applyBorder="1" applyAlignment="1">
      <alignment horizontal="center"/>
    </xf>
    <xf numFmtId="165" fontId="8" fillId="0" borderId="18" xfId="0" applyNumberFormat="1" applyFont="1" applyBorder="1" applyAlignment="1">
      <alignment horizontal="center" vertical="center"/>
    </xf>
    <xf numFmtId="2" fontId="11" fillId="4" borderId="8" xfId="0" applyNumberFormat="1" applyFont="1" applyFill="1" applyBorder="1" applyAlignment="1">
      <alignment horizontal="center"/>
    </xf>
    <xf numFmtId="0" fontId="11" fillId="4" borderId="8" xfId="0" applyFont="1" applyFill="1" applyBorder="1" applyAlignment="1">
      <alignment horizontal="center"/>
    </xf>
    <xf numFmtId="0" fontId="9" fillId="0" borderId="22" xfId="0" applyFont="1" applyBorder="1" applyAlignment="1">
      <alignment horizontal="center" vertical="center" wrapText="1"/>
    </xf>
    <xf numFmtId="0" fontId="11" fillId="4" borderId="4" xfId="0" applyFont="1" applyFill="1" applyBorder="1" applyAlignment="1">
      <alignment horizontal="center"/>
    </xf>
    <xf numFmtId="0" fontId="3" fillId="0" borderId="4" xfId="0" applyFont="1" applyBorder="1" applyAlignment="1">
      <alignment horizontal="center" vertical="center" wrapText="1"/>
    </xf>
    <xf numFmtId="2" fontId="12" fillId="6" borderId="23" xfId="0" applyNumberFormat="1" applyFont="1" applyFill="1" applyBorder="1" applyAlignment="1">
      <alignment horizontal="center"/>
    </xf>
    <xf numFmtId="0" fontId="3" fillId="3" borderId="0" xfId="0" applyFont="1" applyFill="1" applyAlignment="1">
      <alignment horizontal="center"/>
    </xf>
    <xf numFmtId="0" fontId="3" fillId="0" borderId="2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11" fontId="3" fillId="0" borderId="8" xfId="0" applyNumberFormat="1" applyFont="1" applyBorder="1" applyAlignment="1">
      <alignment horizontal="center" vertical="center"/>
    </xf>
    <xf numFmtId="2" fontId="3" fillId="0" borderId="8" xfId="0" applyNumberFormat="1" applyFont="1" applyBorder="1" applyAlignment="1">
      <alignment horizontal="center" vertical="center"/>
    </xf>
    <xf numFmtId="0" fontId="3" fillId="0" borderId="22" xfId="0" applyFont="1" applyBorder="1" applyAlignment="1">
      <alignment horizontal="center" vertical="center"/>
    </xf>
    <xf numFmtId="2" fontId="3" fillId="0" borderId="4" xfId="0" applyNumberFormat="1" applyFont="1" applyBorder="1" applyAlignment="1">
      <alignment horizontal="center" vertical="center"/>
    </xf>
    <xf numFmtId="0" fontId="3" fillId="0" borderId="23" xfId="0" applyFont="1" applyBorder="1" applyAlignment="1">
      <alignment horizontal="center" vertical="center"/>
    </xf>
    <xf numFmtId="0" fontId="15" fillId="3" borderId="0" xfId="0" applyFont="1" applyFill="1" applyAlignment="1">
      <alignment horizontal="center"/>
    </xf>
    <xf numFmtId="0" fontId="11" fillId="8" borderId="15"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1" fillId="8" borderId="27" xfId="0" applyFont="1" applyFill="1" applyBorder="1" applyAlignment="1">
      <alignment horizontal="center" vertical="center" wrapText="1"/>
    </xf>
    <xf numFmtId="0" fontId="11" fillId="3" borderId="0" xfId="0" applyFont="1" applyFill="1" applyAlignment="1">
      <alignment horizontal="center" vertical="center" wrapText="1"/>
    </xf>
    <xf numFmtId="0" fontId="11" fillId="9" borderId="15" xfId="0" applyFont="1" applyFill="1" applyBorder="1" applyAlignment="1">
      <alignment horizontal="center" vertical="center"/>
    </xf>
    <xf numFmtId="0" fontId="16" fillId="4" borderId="8" xfId="0" applyFont="1" applyFill="1" applyBorder="1" applyAlignment="1">
      <alignment horizontal="center" vertical="center"/>
    </xf>
    <xf numFmtId="2" fontId="3" fillId="0" borderId="9" xfId="0" applyNumberFormat="1" applyFont="1" applyBorder="1" applyAlignment="1">
      <alignment horizontal="center" vertical="center"/>
    </xf>
    <xf numFmtId="2" fontId="16" fillId="4" borderId="8" xfId="0" applyNumberFormat="1" applyFont="1" applyFill="1" applyBorder="1" applyAlignment="1">
      <alignment horizontal="center" vertical="center"/>
    </xf>
    <xf numFmtId="2" fontId="11" fillId="0" borderId="9" xfId="0" applyNumberFormat="1" applyFont="1" applyBorder="1" applyAlignment="1">
      <alignment horizontal="center" vertical="center"/>
    </xf>
    <xf numFmtId="2" fontId="17" fillId="0" borderId="9" xfId="0" applyNumberFormat="1" applyFont="1" applyBorder="1" applyAlignment="1">
      <alignment horizontal="center" vertical="center"/>
    </xf>
    <xf numFmtId="2" fontId="18" fillId="0" borderId="9" xfId="0" applyNumberFormat="1" applyFont="1" applyBorder="1" applyAlignment="1">
      <alignment horizontal="center" vertical="center"/>
    </xf>
    <xf numFmtId="2" fontId="3" fillId="0" borderId="28" xfId="0" applyNumberFormat="1" applyFont="1" applyBorder="1" applyAlignment="1">
      <alignment horizontal="center" vertical="center"/>
    </xf>
    <xf numFmtId="2" fontId="3" fillId="3" borderId="0" xfId="0" applyNumberFormat="1" applyFont="1" applyFill="1" applyAlignment="1">
      <alignment horizontal="center" vertical="center"/>
    </xf>
    <xf numFmtId="2" fontId="11" fillId="0" borderId="8" xfId="0" applyNumberFormat="1" applyFont="1" applyBorder="1" applyAlignment="1">
      <alignment horizontal="center" vertical="center"/>
    </xf>
    <xf numFmtId="0" fontId="19" fillId="4" borderId="8" xfId="0" applyFont="1" applyFill="1" applyBorder="1" applyAlignment="1">
      <alignment horizontal="center" vertical="center"/>
    </xf>
    <xf numFmtId="0" fontId="11" fillId="9" borderId="3" xfId="0" applyFont="1" applyFill="1" applyBorder="1" applyAlignment="1">
      <alignment horizontal="center" vertical="center"/>
    </xf>
    <xf numFmtId="0" fontId="16" fillId="4" borderId="0" xfId="0" applyFont="1" applyFill="1" applyAlignment="1">
      <alignment horizontal="center" vertical="center"/>
    </xf>
    <xf numFmtId="2" fontId="3" fillId="0" borderId="0" xfId="0" applyNumberFormat="1" applyFont="1" applyAlignment="1">
      <alignment horizontal="center" vertical="center"/>
    </xf>
    <xf numFmtId="2" fontId="16" fillId="4" borderId="0" xfId="0" applyNumberFormat="1" applyFont="1" applyFill="1" applyAlignment="1">
      <alignment horizontal="center" vertical="center"/>
    </xf>
    <xf numFmtId="0" fontId="3" fillId="9" borderId="8" xfId="0" applyFont="1" applyFill="1" applyBorder="1" applyAlignment="1">
      <alignment horizontal="center" vertical="center"/>
    </xf>
    <xf numFmtId="2" fontId="3" fillId="6" borderId="8" xfId="0" applyNumberFormat="1" applyFont="1" applyFill="1" applyBorder="1" applyAlignment="1">
      <alignment horizontal="center" vertical="center"/>
    </xf>
    <xf numFmtId="2" fontId="3" fillId="6" borderId="27" xfId="0" applyNumberFormat="1" applyFont="1" applyFill="1" applyBorder="1" applyAlignment="1">
      <alignment horizontal="center" vertical="center"/>
    </xf>
    <xf numFmtId="2" fontId="3" fillId="9" borderId="31" xfId="0" applyNumberFormat="1" applyFont="1" applyFill="1" applyBorder="1" applyAlignment="1">
      <alignment horizontal="center" vertical="center"/>
    </xf>
    <xf numFmtId="2" fontId="3" fillId="9" borderId="32" xfId="0" applyNumberFormat="1" applyFont="1" applyFill="1" applyBorder="1" applyAlignment="1">
      <alignment horizontal="center" vertical="center"/>
    </xf>
    <xf numFmtId="2" fontId="3" fillId="9" borderId="33" xfId="0" applyNumberFormat="1" applyFont="1" applyFill="1" applyBorder="1" applyAlignment="1">
      <alignment horizontal="center" vertical="center"/>
    </xf>
    <xf numFmtId="2" fontId="3" fillId="9" borderId="15" xfId="0" applyNumberFormat="1" applyFont="1" applyFill="1" applyBorder="1" applyAlignment="1">
      <alignment horizontal="center" vertical="center"/>
    </xf>
    <xf numFmtId="2" fontId="3" fillId="9" borderId="8" xfId="0" applyNumberFormat="1" applyFont="1" applyFill="1" applyBorder="1" applyAlignment="1">
      <alignment horizontal="center" vertical="center"/>
    </xf>
    <xf numFmtId="2" fontId="3" fillId="9" borderId="16" xfId="0" applyNumberFormat="1" applyFont="1" applyFill="1" applyBorder="1" applyAlignment="1">
      <alignment horizontal="center" vertical="center"/>
    </xf>
    <xf numFmtId="0" fontId="3" fillId="6" borderId="7" xfId="0" applyFont="1" applyFill="1" applyBorder="1"/>
    <xf numFmtId="0" fontId="3" fillId="6" borderId="34" xfId="0" applyFont="1" applyFill="1" applyBorder="1"/>
    <xf numFmtId="0" fontId="3" fillId="6" borderId="35" xfId="0" applyFont="1" applyFill="1" applyBorder="1"/>
    <xf numFmtId="0" fontId="3" fillId="6" borderId="20" xfId="0" applyFont="1" applyFill="1" applyBorder="1" applyAlignment="1">
      <alignment horizontal="center"/>
    </xf>
    <xf numFmtId="0" fontId="11" fillId="8" borderId="16" xfId="0" applyFont="1" applyFill="1" applyBorder="1" applyAlignment="1">
      <alignment horizontal="center" vertical="center" wrapText="1"/>
    </xf>
    <xf numFmtId="0" fontId="3" fillId="6" borderId="8" xfId="0" applyFont="1" applyFill="1" applyBorder="1" applyAlignment="1">
      <alignment horizontal="center"/>
    </xf>
    <xf numFmtId="0" fontId="11" fillId="0" borderId="15" xfId="0" applyFont="1" applyBorder="1" applyAlignment="1">
      <alignment horizontal="center"/>
    </xf>
    <xf numFmtId="0" fontId="3" fillId="9" borderId="21" xfId="0" applyFont="1" applyFill="1" applyBorder="1" applyAlignment="1">
      <alignment horizontal="center" vertical="center"/>
    </xf>
    <xf numFmtId="168" fontId="17" fillId="9" borderId="8" xfId="0" applyNumberFormat="1" applyFont="1" applyFill="1" applyBorder="1" applyAlignment="1">
      <alignment horizontal="center" vertical="center"/>
    </xf>
    <xf numFmtId="2" fontId="17" fillId="0" borderId="8" xfId="0" applyNumberFormat="1" applyFont="1" applyBorder="1" applyAlignment="1">
      <alignment horizontal="center" vertical="center"/>
    </xf>
    <xf numFmtId="2" fontId="17" fillId="0" borderId="27" xfId="0" applyNumberFormat="1" applyFont="1" applyBorder="1" applyAlignment="1">
      <alignment horizontal="center" vertical="center"/>
    </xf>
    <xf numFmtId="2" fontId="3" fillId="0" borderId="21" xfId="0" applyNumberFormat="1" applyFont="1" applyBorder="1" applyAlignment="1">
      <alignment horizontal="center" vertical="center"/>
    </xf>
    <xf numFmtId="2" fontId="3" fillId="0" borderId="16" xfId="0" applyNumberFormat="1" applyFont="1" applyBorder="1" applyAlignment="1">
      <alignment horizontal="center" vertical="center"/>
    </xf>
    <xf numFmtId="0" fontId="3" fillId="9" borderId="36" xfId="0" applyFont="1" applyFill="1" applyBorder="1" applyAlignment="1">
      <alignment horizontal="center" vertical="center"/>
    </xf>
    <xf numFmtId="0" fontId="3" fillId="9" borderId="37" xfId="0" applyFont="1" applyFill="1" applyBorder="1" applyAlignment="1">
      <alignment horizontal="center" vertical="center"/>
    </xf>
    <xf numFmtId="0" fontId="8" fillId="0" borderId="15" xfId="0" applyFont="1" applyBorder="1" applyAlignment="1">
      <alignment vertical="center"/>
    </xf>
    <xf numFmtId="0" fontId="8" fillId="0" borderId="8" xfId="0" applyFont="1" applyBorder="1" applyAlignment="1">
      <alignment vertical="center"/>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8" fillId="0" borderId="15"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3" fillId="6" borderId="0" xfId="0" applyFont="1" applyFill="1" applyAlignment="1">
      <alignment horizontal="center"/>
    </xf>
    <xf numFmtId="0" fontId="11" fillId="0" borderId="38" xfId="0" applyFont="1" applyBorder="1" applyAlignment="1">
      <alignment horizontal="center"/>
    </xf>
    <xf numFmtId="168" fontId="17" fillId="9" borderId="0" xfId="0" applyNumberFormat="1" applyFont="1" applyFill="1" applyAlignment="1">
      <alignment horizontal="center" vertical="center"/>
    </xf>
    <xf numFmtId="2" fontId="3" fillId="9" borderId="37" xfId="0" applyNumberFormat="1" applyFont="1" applyFill="1" applyBorder="1" applyAlignment="1">
      <alignment horizontal="center" vertical="center"/>
    </xf>
    <xf numFmtId="0" fontId="3" fillId="0" borderId="22" xfId="0" applyFont="1" applyBorder="1" applyAlignment="1">
      <alignment horizontal="center"/>
    </xf>
    <xf numFmtId="0" fontId="3" fillId="0" borderId="4" xfId="0" applyFont="1" applyBorder="1" applyAlignment="1">
      <alignment horizontal="center" vertical="center"/>
    </xf>
    <xf numFmtId="0" fontId="3" fillId="9" borderId="4" xfId="0" applyFont="1" applyFill="1" applyBorder="1" applyAlignment="1">
      <alignment horizontal="center" vertical="center"/>
    </xf>
    <xf numFmtId="2" fontId="3" fillId="9" borderId="4" xfId="0" applyNumberFormat="1" applyFont="1" applyFill="1" applyBorder="1" applyAlignment="1">
      <alignment horizontal="center" vertical="center"/>
    </xf>
    <xf numFmtId="2" fontId="10" fillId="0" borderId="8" xfId="0" applyNumberFormat="1" applyFont="1" applyBorder="1" applyAlignment="1">
      <alignment horizontal="center" vertical="center"/>
    </xf>
    <xf numFmtId="2" fontId="8" fillId="0" borderId="8" xfId="0" applyNumberFormat="1" applyFont="1" applyBorder="1" applyAlignment="1">
      <alignment horizontal="center" vertical="center"/>
    </xf>
    <xf numFmtId="2" fontId="8" fillId="0" borderId="16" xfId="0" applyNumberFormat="1" applyFont="1" applyBorder="1" applyAlignment="1">
      <alignment horizontal="center" vertical="center"/>
    </xf>
    <xf numFmtId="168" fontId="3" fillId="3" borderId="0" xfId="0" applyNumberFormat="1" applyFont="1" applyFill="1"/>
    <xf numFmtId="166" fontId="8" fillId="0" borderId="8" xfId="0" applyNumberFormat="1" applyFont="1" applyBorder="1" applyAlignment="1">
      <alignment horizontal="center" vertical="center"/>
    </xf>
    <xf numFmtId="166" fontId="8" fillId="0" borderId="16" xfId="0" applyNumberFormat="1" applyFont="1" applyBorder="1" applyAlignment="1">
      <alignment horizontal="center" vertical="center"/>
    </xf>
    <xf numFmtId="2" fontId="3" fillId="6" borderId="8" xfId="0" applyNumberFormat="1" applyFont="1" applyFill="1" applyBorder="1" applyAlignment="1">
      <alignment horizontal="center"/>
    </xf>
    <xf numFmtId="165" fontId="8" fillId="0" borderId="8" xfId="0" applyNumberFormat="1" applyFont="1" applyBorder="1" applyAlignment="1">
      <alignment horizontal="center" vertical="center"/>
    </xf>
    <xf numFmtId="165" fontId="8" fillId="0" borderId="16" xfId="0" applyNumberFormat="1" applyFont="1" applyBorder="1" applyAlignment="1">
      <alignment horizontal="center" vertical="center"/>
    </xf>
    <xf numFmtId="0" fontId="8" fillId="0" borderId="22" xfId="0" applyFont="1" applyBorder="1" applyAlignment="1">
      <alignment horizontal="center" vertical="center"/>
    </xf>
    <xf numFmtId="0" fontId="8" fillId="0" borderId="4" xfId="0" applyFont="1" applyBorder="1" applyAlignment="1">
      <alignment horizontal="center" vertical="center"/>
    </xf>
    <xf numFmtId="165" fontId="8" fillId="0" borderId="4" xfId="0" applyNumberFormat="1" applyFont="1" applyBorder="1" applyAlignment="1">
      <alignment horizontal="center" vertical="center"/>
    </xf>
    <xf numFmtId="165" fontId="8" fillId="0" borderId="23" xfId="0" applyNumberFormat="1" applyFont="1" applyBorder="1" applyAlignment="1">
      <alignment horizontal="center" vertical="center"/>
    </xf>
    <xf numFmtId="167" fontId="11" fillId="9" borderId="32" xfId="0" applyNumberFormat="1" applyFont="1" applyFill="1" applyBorder="1" applyAlignment="1">
      <alignment horizontal="center" vertical="center"/>
    </xf>
    <xf numFmtId="167" fontId="11" fillId="9" borderId="21" xfId="0" applyNumberFormat="1" applyFont="1" applyFill="1" applyBorder="1" applyAlignment="1">
      <alignment horizontal="center" vertical="center"/>
    </xf>
    <xf numFmtId="167" fontId="11" fillId="9" borderId="8" xfId="0" applyNumberFormat="1" applyFont="1" applyFill="1" applyBorder="1" applyAlignment="1">
      <alignment horizontal="center" vertical="center"/>
    </xf>
    <xf numFmtId="2" fontId="11" fillId="0" borderId="16" xfId="0" applyNumberFormat="1" applyFont="1" applyBorder="1" applyAlignment="1">
      <alignment horizontal="center" vertical="center"/>
    </xf>
    <xf numFmtId="0" fontId="3" fillId="6" borderId="28" xfId="0" applyFont="1" applyFill="1" applyBorder="1"/>
    <xf numFmtId="0" fontId="3" fillId="6" borderId="39" xfId="0" applyFont="1" applyFill="1" applyBorder="1"/>
    <xf numFmtId="0" fontId="3" fillId="6" borderId="40" xfId="0" applyFont="1" applyFill="1" applyBorder="1"/>
    <xf numFmtId="0" fontId="22" fillId="6" borderId="39" xfId="0" applyFont="1" applyFill="1" applyBorder="1"/>
    <xf numFmtId="0" fontId="3" fillId="6" borderId="41" xfId="0" applyFont="1" applyFill="1" applyBorder="1"/>
    <xf numFmtId="2" fontId="11" fillId="9" borderId="8" xfId="0" applyNumberFormat="1" applyFont="1" applyFill="1" applyBorder="1" applyAlignment="1">
      <alignment horizontal="center" vertical="center"/>
    </xf>
    <xf numFmtId="167" fontId="11" fillId="9" borderId="37" xfId="0" applyNumberFormat="1" applyFont="1" applyFill="1" applyBorder="1" applyAlignment="1">
      <alignment horizontal="center" vertical="center"/>
    </xf>
    <xf numFmtId="167" fontId="11" fillId="9" borderId="36" xfId="0" applyNumberFormat="1" applyFont="1" applyFill="1" applyBorder="1" applyAlignment="1">
      <alignment horizontal="center" vertical="center"/>
    </xf>
    <xf numFmtId="0" fontId="3" fillId="0" borderId="15" xfId="0" applyFont="1" applyBorder="1" applyAlignment="1">
      <alignment horizontal="center"/>
    </xf>
    <xf numFmtId="167" fontId="11" fillId="9" borderId="4" xfId="0" applyNumberFormat="1" applyFont="1" applyFill="1" applyBorder="1" applyAlignment="1">
      <alignment horizontal="center" vertical="center"/>
    </xf>
    <xf numFmtId="2" fontId="11" fillId="9" borderId="4" xfId="0" applyNumberFormat="1" applyFont="1" applyFill="1" applyBorder="1" applyAlignment="1">
      <alignment horizontal="center" vertical="center"/>
    </xf>
    <xf numFmtId="2" fontId="11" fillId="0" borderId="4" xfId="0" applyNumberFormat="1" applyFont="1" applyBorder="1" applyAlignment="1">
      <alignment horizontal="center" vertical="center"/>
    </xf>
    <xf numFmtId="2" fontId="11" fillId="0" borderId="23" xfId="0" applyNumberFormat="1" applyFont="1" applyBorder="1" applyAlignment="1">
      <alignment horizontal="center" vertical="center"/>
    </xf>
    <xf numFmtId="0" fontId="23" fillId="0" borderId="31" xfId="0" applyFont="1" applyBorder="1" applyAlignment="1">
      <alignment horizontal="center" wrapText="1"/>
    </xf>
    <xf numFmtId="0" fontId="23" fillId="0" borderId="32" xfId="0" applyFont="1" applyBorder="1" applyAlignment="1">
      <alignment horizontal="center" wrapText="1"/>
    </xf>
    <xf numFmtId="0" fontId="13" fillId="0" borderId="32" xfId="0" applyFont="1" applyBorder="1" applyAlignment="1">
      <alignment horizontal="center" wrapText="1"/>
    </xf>
    <xf numFmtId="0" fontId="13" fillId="0" borderId="33" xfId="0" applyFont="1" applyBorder="1" applyAlignment="1">
      <alignment horizontal="center" wrapText="1"/>
    </xf>
    <xf numFmtId="0" fontId="13" fillId="0" borderId="31" xfId="0" applyFont="1" applyBorder="1" applyAlignment="1">
      <alignment horizontal="center" wrapText="1"/>
    </xf>
    <xf numFmtId="0" fontId="13" fillId="0" borderId="32" xfId="0" applyFont="1" applyBorder="1" applyAlignment="1">
      <alignment horizontal="center"/>
    </xf>
    <xf numFmtId="165" fontId="3" fillId="2" borderId="8" xfId="0" applyNumberFormat="1" applyFont="1" applyFill="1" applyBorder="1" applyAlignment="1">
      <alignment horizontal="center"/>
    </xf>
    <xf numFmtId="0" fontId="13" fillId="13" borderId="32" xfId="0" applyFont="1" applyFill="1" applyBorder="1" applyAlignment="1">
      <alignment horizontal="center" wrapText="1"/>
    </xf>
    <xf numFmtId="0" fontId="24" fillId="13" borderId="32" xfId="0" applyFont="1" applyFill="1" applyBorder="1" applyAlignment="1">
      <alignment horizontal="center" wrapText="1"/>
    </xf>
    <xf numFmtId="0" fontId="24" fillId="13" borderId="33" xfId="0" applyFont="1" applyFill="1" applyBorder="1" applyAlignment="1">
      <alignment horizontal="center" wrapText="1"/>
    </xf>
    <xf numFmtId="0" fontId="13" fillId="14" borderId="31" xfId="0" applyFont="1" applyFill="1" applyBorder="1" applyAlignment="1">
      <alignment horizontal="center" wrapText="1"/>
    </xf>
    <xf numFmtId="0" fontId="13" fillId="14" borderId="32" xfId="0" applyFont="1" applyFill="1" applyBorder="1" applyAlignment="1">
      <alignment horizontal="center"/>
    </xf>
    <xf numFmtId="0" fontId="13" fillId="14" borderId="32" xfId="0" applyFont="1" applyFill="1" applyBorder="1" applyAlignment="1">
      <alignment horizontal="center" wrapText="1"/>
    </xf>
    <xf numFmtId="0" fontId="24" fillId="14" borderId="32" xfId="0" applyFont="1" applyFill="1" applyBorder="1" applyAlignment="1">
      <alignment horizontal="center" wrapText="1"/>
    </xf>
    <xf numFmtId="0" fontId="24" fillId="14" borderId="42" xfId="0" applyFont="1" applyFill="1" applyBorder="1" applyAlignment="1">
      <alignment horizontal="center" wrapText="1"/>
    </xf>
    <xf numFmtId="0" fontId="24" fillId="14" borderId="33" xfId="0" applyFont="1" applyFill="1" applyBorder="1" applyAlignment="1">
      <alignment horizontal="center" wrapText="1"/>
    </xf>
    <xf numFmtId="0" fontId="24" fillId="0" borderId="32" xfId="0" applyFont="1" applyBorder="1" applyAlignment="1">
      <alignment horizontal="center" wrapText="1"/>
    </xf>
    <xf numFmtId="0" fontId="24" fillId="3" borderId="32" xfId="0" applyFont="1" applyFill="1" applyBorder="1" applyAlignment="1">
      <alignment horizontal="center" wrapText="1"/>
    </xf>
    <xf numFmtId="0" fontId="13" fillId="0" borderId="33" xfId="0" applyFont="1" applyBorder="1" applyAlignment="1">
      <alignment horizontal="center"/>
    </xf>
    <xf numFmtId="0" fontId="13" fillId="2" borderId="0" xfId="0" applyFont="1" applyFill="1" applyAlignment="1">
      <alignment horizontal="center"/>
    </xf>
    <xf numFmtId="165" fontId="3" fillId="2" borderId="15" xfId="0" applyNumberFormat="1" applyFont="1" applyFill="1" applyBorder="1" applyAlignment="1">
      <alignment horizontal="center"/>
    </xf>
    <xf numFmtId="165" fontId="3" fillId="2" borderId="16" xfId="0" applyNumberFormat="1" applyFont="1" applyFill="1" applyBorder="1" applyAlignment="1">
      <alignment horizontal="center"/>
    </xf>
    <xf numFmtId="165" fontId="3" fillId="13" borderId="8" xfId="0" applyNumberFormat="1" applyFont="1" applyFill="1" applyBorder="1" applyAlignment="1">
      <alignment horizontal="center"/>
    </xf>
    <xf numFmtId="165" fontId="3" fillId="13" borderId="16" xfId="0" applyNumberFormat="1" applyFont="1" applyFill="1" applyBorder="1" applyAlignment="1">
      <alignment horizontal="center"/>
    </xf>
    <xf numFmtId="165" fontId="3" fillId="14" borderId="15" xfId="0" applyNumberFormat="1" applyFont="1" applyFill="1" applyBorder="1" applyAlignment="1">
      <alignment horizontal="center"/>
    </xf>
    <xf numFmtId="165" fontId="3" fillId="14" borderId="8" xfId="0" applyNumberFormat="1" applyFont="1" applyFill="1" applyBorder="1" applyAlignment="1">
      <alignment horizontal="center"/>
    </xf>
    <xf numFmtId="165" fontId="3" fillId="14" borderId="27" xfId="0" applyNumberFormat="1" applyFont="1" applyFill="1" applyBorder="1" applyAlignment="1">
      <alignment horizontal="center"/>
    </xf>
    <xf numFmtId="165" fontId="3" fillId="14" borderId="16" xfId="0" applyNumberFormat="1" applyFont="1" applyFill="1" applyBorder="1" applyAlignment="1">
      <alignment horizontal="center"/>
    </xf>
    <xf numFmtId="165" fontId="3" fillId="2" borderId="8" xfId="0" applyNumberFormat="1" applyFont="1" applyFill="1" applyBorder="1" applyAlignment="1">
      <alignment horizontal="center" wrapText="1"/>
    </xf>
    <xf numFmtId="165" fontId="3" fillId="2" borderId="0" xfId="0" applyNumberFormat="1" applyFont="1" applyFill="1" applyAlignment="1">
      <alignment horizontal="center"/>
    </xf>
    <xf numFmtId="165" fontId="3" fillId="13" borderId="0" xfId="0" applyNumberFormat="1" applyFont="1" applyFill="1" applyAlignment="1">
      <alignment horizontal="center"/>
    </xf>
    <xf numFmtId="2" fontId="13" fillId="6" borderId="23" xfId="0" applyNumberFormat="1" applyFont="1" applyFill="1" applyBorder="1" applyAlignment="1">
      <alignment horizontal="center"/>
    </xf>
    <xf numFmtId="0" fontId="27" fillId="15" borderId="1" xfId="9" applyFont="1" applyFill="1" applyBorder="1"/>
    <xf numFmtId="0" fontId="27" fillId="15" borderId="0" xfId="9" applyFont="1" applyFill="1"/>
    <xf numFmtId="0" fontId="27" fillId="15" borderId="2" xfId="9" applyFont="1" applyFill="1" applyBorder="1"/>
    <xf numFmtId="0" fontId="27" fillId="16" borderId="0" xfId="9" applyFont="1" applyFill="1"/>
    <xf numFmtId="0" fontId="27" fillId="15" borderId="3" xfId="9" applyFont="1" applyFill="1" applyBorder="1"/>
    <xf numFmtId="0" fontId="28" fillId="15" borderId="0" xfId="9" applyFont="1" applyFill="1"/>
    <xf numFmtId="0" fontId="30" fillId="18" borderId="6" xfId="9" applyFont="1" applyFill="1" applyBorder="1"/>
    <xf numFmtId="0" fontId="30" fillId="18" borderId="7" xfId="9" applyFont="1" applyFill="1" applyBorder="1"/>
    <xf numFmtId="0" fontId="30" fillId="18" borderId="0" xfId="9" applyFont="1" applyFill="1"/>
    <xf numFmtId="0" fontId="31" fillId="0" borderId="15" xfId="9" applyFont="1" applyBorder="1" applyAlignment="1">
      <alignment horizontal="center" vertical="center" wrapText="1"/>
    </xf>
    <xf numFmtId="19" fontId="32" fillId="19" borderId="46" xfId="9" applyNumberFormat="1" applyFont="1" applyFill="1" applyBorder="1" applyAlignment="1">
      <alignment horizontal="center"/>
    </xf>
    <xf numFmtId="0" fontId="27" fillId="0" borderId="9" xfId="9" applyFont="1" applyBorder="1" applyAlignment="1">
      <alignment horizontal="center" vertical="center" wrapText="1"/>
    </xf>
    <xf numFmtId="165" fontId="27" fillId="20" borderId="10" xfId="9" applyNumberFormat="1" applyFont="1" applyFill="1" applyBorder="1" applyAlignment="1">
      <alignment horizontal="center"/>
    </xf>
    <xf numFmtId="0" fontId="33" fillId="0" borderId="5" xfId="9" applyFont="1" applyBorder="1" applyAlignment="1">
      <alignment vertical="center"/>
    </xf>
    <xf numFmtId="0" fontId="33" fillId="0" borderId="11" xfId="9" applyFont="1" applyBorder="1" applyAlignment="1">
      <alignment vertical="center"/>
    </xf>
    <xf numFmtId="0" fontId="33" fillId="0" borderId="12" xfId="9" applyFont="1" applyBorder="1" applyAlignment="1">
      <alignment horizontal="center" vertical="center"/>
    </xf>
    <xf numFmtId="0" fontId="33" fillId="0" borderId="45" xfId="9" applyFont="1" applyBorder="1" applyAlignment="1">
      <alignment horizontal="center" vertical="center"/>
    </xf>
    <xf numFmtId="0" fontId="34" fillId="20" borderId="8" xfId="9" applyFont="1" applyFill="1" applyBorder="1"/>
    <xf numFmtId="0" fontId="27" fillId="0" borderId="3" xfId="9" applyFont="1" applyBorder="1" applyAlignment="1">
      <alignment horizontal="center"/>
    </xf>
    <xf numFmtId="0" fontId="32" fillId="19" borderId="46" xfId="9" applyFont="1" applyFill="1" applyBorder="1" applyAlignment="1">
      <alignment horizontal="center"/>
    </xf>
    <xf numFmtId="0" fontId="33" fillId="0" borderId="17" xfId="9" applyFont="1" applyBorder="1" applyAlignment="1">
      <alignment horizontal="center" vertical="center"/>
    </xf>
    <xf numFmtId="169" fontId="33" fillId="0" borderId="17" xfId="9" applyNumberFormat="1" applyFont="1" applyBorder="1" applyAlignment="1">
      <alignment horizontal="center" vertical="center"/>
    </xf>
    <xf numFmtId="0" fontId="33" fillId="0" borderId="6" xfId="9" applyFont="1" applyBorder="1" applyAlignment="1">
      <alignment horizontal="center" vertical="center"/>
    </xf>
    <xf numFmtId="0" fontId="27" fillId="20" borderId="8" xfId="9" applyFont="1" applyFill="1" applyBorder="1"/>
    <xf numFmtId="0" fontId="27" fillId="20" borderId="0" xfId="9" applyFont="1" applyFill="1"/>
    <xf numFmtId="0" fontId="27" fillId="0" borderId="8" xfId="9" applyFont="1" applyBorder="1" applyAlignment="1">
      <alignment horizontal="center" vertical="center" wrapText="1"/>
    </xf>
    <xf numFmtId="2" fontId="27" fillId="20" borderId="16" xfId="9" applyNumberFormat="1" applyFont="1" applyFill="1" applyBorder="1" applyAlignment="1">
      <alignment horizontal="center"/>
    </xf>
    <xf numFmtId="0" fontId="35" fillId="0" borderId="17" xfId="9" applyFont="1" applyBorder="1" applyAlignment="1">
      <alignment horizontal="center" vertical="center"/>
    </xf>
    <xf numFmtId="0" fontId="35" fillId="0" borderId="7" xfId="9" applyFont="1" applyBorder="1" applyAlignment="1">
      <alignment horizontal="center" vertical="center"/>
    </xf>
    <xf numFmtId="0" fontId="32" fillId="19" borderId="21" xfId="9" applyFont="1" applyFill="1" applyBorder="1" applyAlignment="1">
      <alignment horizontal="center"/>
    </xf>
    <xf numFmtId="0" fontId="33" fillId="0" borderId="18" xfId="9" applyFont="1" applyBorder="1" applyAlignment="1">
      <alignment horizontal="center" vertical="center"/>
    </xf>
    <xf numFmtId="2" fontId="33" fillId="0" borderId="18" xfId="9" applyNumberFormat="1" applyFont="1" applyBorder="1" applyAlignment="1">
      <alignment horizontal="center" vertical="center"/>
    </xf>
    <xf numFmtId="2" fontId="33" fillId="0" borderId="7" xfId="9" applyNumberFormat="1" applyFont="1" applyBorder="1" applyAlignment="1">
      <alignment horizontal="center" vertical="center"/>
    </xf>
    <xf numFmtId="0" fontId="32" fillId="21" borderId="8" xfId="9" applyFont="1" applyFill="1" applyBorder="1" applyAlignment="1">
      <alignment horizontal="center"/>
    </xf>
    <xf numFmtId="166" fontId="33" fillId="0" borderId="18" xfId="9" applyNumberFormat="1" applyFont="1" applyBorder="1" applyAlignment="1">
      <alignment horizontal="center" vertical="center"/>
    </xf>
    <xf numFmtId="166" fontId="33" fillId="0" borderId="7" xfId="9" applyNumberFormat="1" applyFont="1" applyBorder="1" applyAlignment="1">
      <alignment horizontal="center" vertical="center"/>
    </xf>
    <xf numFmtId="0" fontId="37" fillId="22" borderId="8" xfId="9" applyFont="1" applyFill="1" applyBorder="1" applyAlignment="1">
      <alignment horizontal="center"/>
    </xf>
    <xf numFmtId="167" fontId="27" fillId="20" borderId="16" xfId="9" applyNumberFormat="1" applyFont="1" applyFill="1" applyBorder="1" applyAlignment="1">
      <alignment horizontal="center"/>
    </xf>
    <xf numFmtId="165" fontId="33" fillId="0" borderId="18" xfId="9" applyNumberFormat="1" applyFont="1" applyBorder="1" applyAlignment="1">
      <alignment horizontal="center" vertical="center"/>
    </xf>
    <xf numFmtId="165" fontId="33" fillId="0" borderId="7" xfId="9" applyNumberFormat="1" applyFont="1" applyBorder="1" applyAlignment="1">
      <alignment horizontal="center" vertical="center"/>
    </xf>
    <xf numFmtId="0" fontId="38" fillId="18" borderId="3" xfId="9" applyFont="1" applyFill="1" applyBorder="1" applyAlignment="1">
      <alignment horizontal="center"/>
    </xf>
    <xf numFmtId="0" fontId="38" fillId="18" borderId="0" xfId="9" applyFont="1" applyFill="1" applyAlignment="1">
      <alignment horizontal="center"/>
    </xf>
    <xf numFmtId="0" fontId="38" fillId="18" borderId="35" xfId="9" applyFont="1" applyFill="1" applyBorder="1" applyAlignment="1">
      <alignment horizontal="center"/>
    </xf>
    <xf numFmtId="0" fontId="38" fillId="18" borderId="22" xfId="9" applyFont="1" applyFill="1" applyBorder="1" applyAlignment="1">
      <alignment horizontal="center"/>
    </xf>
    <xf numFmtId="0" fontId="38" fillId="18" borderId="4" xfId="9" applyFont="1" applyFill="1" applyBorder="1" applyAlignment="1">
      <alignment horizontal="center"/>
    </xf>
    <xf numFmtId="0" fontId="38" fillId="18" borderId="23" xfId="9" applyFont="1" applyFill="1" applyBorder="1" applyAlignment="1">
      <alignment horizontal="center"/>
    </xf>
    <xf numFmtId="2" fontId="39" fillId="23" borderId="8" xfId="9" applyNumberFormat="1" applyFont="1" applyFill="1" applyBorder="1" applyAlignment="1">
      <alignment horizontal="center"/>
    </xf>
    <xf numFmtId="18" fontId="41" fillId="20" borderId="30" xfId="9" applyNumberFormat="1" applyFont="1" applyFill="1" applyBorder="1" applyAlignment="1">
      <alignment horizontal="center"/>
    </xf>
    <xf numFmtId="0" fontId="40" fillId="20" borderId="24" xfId="9" applyFont="1" applyFill="1" applyBorder="1" applyAlignment="1">
      <alignment horizontal="center"/>
    </xf>
    <xf numFmtId="0" fontId="40" fillId="20" borderId="9" xfId="9" applyFont="1" applyFill="1" applyBorder="1" applyAlignment="1">
      <alignment horizontal="center"/>
    </xf>
    <xf numFmtId="0" fontId="40" fillId="20" borderId="10" xfId="9" applyFont="1" applyFill="1" applyBorder="1" applyAlignment="1">
      <alignment horizontal="center"/>
    </xf>
    <xf numFmtId="0" fontId="37" fillId="19" borderId="8" xfId="9" applyFont="1" applyFill="1" applyBorder="1" applyAlignment="1">
      <alignment horizontal="center"/>
    </xf>
    <xf numFmtId="0" fontId="41" fillId="20" borderId="0" xfId="9" applyFont="1" applyFill="1"/>
    <xf numFmtId="0" fontId="41" fillId="20" borderId="49" xfId="9" applyFont="1" applyFill="1" applyBorder="1" applyAlignment="1">
      <alignment horizontal="center"/>
    </xf>
    <xf numFmtId="0" fontId="41" fillId="20" borderId="22" xfId="9" applyFont="1" applyFill="1" applyBorder="1" applyAlignment="1">
      <alignment horizontal="center"/>
    </xf>
    <xf numFmtId="0" fontId="41" fillId="20" borderId="4" xfId="9" applyFont="1" applyFill="1" applyBorder="1" applyAlignment="1">
      <alignment horizontal="center"/>
    </xf>
    <xf numFmtId="0" fontId="41" fillId="20" borderId="23" xfId="9" applyFont="1" applyFill="1" applyBorder="1" applyAlignment="1">
      <alignment horizontal="center"/>
    </xf>
    <xf numFmtId="0" fontId="31" fillId="0" borderId="22" xfId="9" applyFont="1" applyBorder="1" applyAlignment="1">
      <alignment horizontal="center" vertical="center" wrapText="1"/>
    </xf>
    <xf numFmtId="0" fontId="37" fillId="19" borderId="4" xfId="9" applyFont="1" applyFill="1" applyBorder="1" applyAlignment="1">
      <alignment horizontal="center"/>
    </xf>
    <xf numFmtId="0" fontId="27" fillId="0" borderId="4" xfId="9" applyFont="1" applyBorder="1" applyAlignment="1">
      <alignment horizontal="center" vertical="center" wrapText="1"/>
    </xf>
    <xf numFmtId="2" fontId="42" fillId="20" borderId="23" xfId="9" applyNumberFormat="1" applyFont="1" applyFill="1" applyBorder="1" applyAlignment="1">
      <alignment horizontal="center"/>
    </xf>
    <xf numFmtId="0" fontId="27" fillId="15" borderId="0" xfId="9" applyFont="1" applyFill="1" applyAlignment="1">
      <alignment horizontal="center"/>
    </xf>
    <xf numFmtId="0" fontId="27" fillId="0" borderId="24" xfId="9" applyFont="1" applyBorder="1" applyAlignment="1">
      <alignment horizontal="center" vertical="center" wrapText="1"/>
    </xf>
    <xf numFmtId="0" fontId="27" fillId="0" borderId="10" xfId="9" applyFont="1" applyBorder="1" applyAlignment="1">
      <alignment horizontal="center" vertical="center" wrapText="1"/>
    </xf>
    <xf numFmtId="0" fontId="43" fillId="20" borderId="53" xfId="9" applyFont="1" applyFill="1" applyBorder="1" applyAlignment="1">
      <alignment vertical="center"/>
    </xf>
    <xf numFmtId="0" fontId="43" fillId="20" borderId="32" xfId="9" applyFont="1" applyFill="1" applyBorder="1" applyAlignment="1">
      <alignment vertical="center"/>
    </xf>
    <xf numFmtId="0" fontId="43" fillId="20" borderId="32" xfId="9" applyFont="1" applyFill="1" applyBorder="1" applyAlignment="1">
      <alignment horizontal="center" vertical="center"/>
    </xf>
    <xf numFmtId="0" fontId="43" fillId="20" borderId="33" xfId="9" applyFont="1" applyFill="1" applyBorder="1" applyAlignment="1">
      <alignment horizontal="center" vertical="center"/>
    </xf>
    <xf numFmtId="0" fontId="27" fillId="0" borderId="15" xfId="9" applyFont="1" applyBorder="1" applyAlignment="1">
      <alignment horizontal="center" vertical="center"/>
    </xf>
    <xf numFmtId="0" fontId="27" fillId="0" borderId="8" xfId="9" applyFont="1" applyBorder="1" applyAlignment="1">
      <alignment horizontal="center" vertical="center"/>
    </xf>
    <xf numFmtId="0" fontId="27" fillId="0" borderId="16" xfId="9" applyFont="1" applyBorder="1" applyAlignment="1">
      <alignment horizontal="center" vertical="center"/>
    </xf>
    <xf numFmtId="0" fontId="44" fillId="20" borderId="21" xfId="9" applyFont="1" applyFill="1" applyBorder="1" applyAlignment="1">
      <alignment horizontal="center" vertical="center"/>
    </xf>
    <xf numFmtId="0" fontId="44" fillId="20" borderId="8" xfId="9" applyFont="1" applyFill="1" applyBorder="1" applyAlignment="1">
      <alignment horizontal="center" vertical="center"/>
    </xf>
    <xf numFmtId="0" fontId="44" fillId="20" borderId="16" xfId="9" applyFont="1" applyFill="1" applyBorder="1" applyAlignment="1">
      <alignment horizontal="center" vertical="center"/>
    </xf>
    <xf numFmtId="0" fontId="43" fillId="20" borderId="8" xfId="9" applyFont="1" applyFill="1" applyBorder="1" applyAlignment="1">
      <alignment horizontal="center" vertical="center"/>
    </xf>
    <xf numFmtId="2" fontId="44" fillId="0" borderId="8" xfId="9" applyNumberFormat="1" applyFont="1" applyBorder="1" applyAlignment="1">
      <alignment horizontal="center" vertical="center"/>
    </xf>
    <xf numFmtId="2" fontId="43" fillId="0" borderId="8" xfId="9" applyNumberFormat="1" applyFont="1" applyBorder="1" applyAlignment="1">
      <alignment horizontal="center" vertical="center"/>
    </xf>
    <xf numFmtId="2" fontId="43" fillId="0" borderId="16" xfId="9" applyNumberFormat="1" applyFont="1" applyBorder="1" applyAlignment="1">
      <alignment horizontal="center" vertical="center"/>
    </xf>
    <xf numFmtId="11" fontId="27" fillId="0" borderId="8" xfId="9" applyNumberFormat="1" applyFont="1" applyBorder="1" applyAlignment="1">
      <alignment horizontal="center" vertical="center"/>
    </xf>
    <xf numFmtId="166" fontId="43" fillId="0" borderId="8" xfId="9" applyNumberFormat="1" applyFont="1" applyBorder="1" applyAlignment="1">
      <alignment horizontal="center" vertical="center"/>
    </xf>
    <xf numFmtId="166" fontId="43" fillId="0" borderId="16" xfId="9" applyNumberFormat="1" applyFont="1" applyBorder="1" applyAlignment="1">
      <alignment horizontal="center" vertical="center"/>
    </xf>
    <xf numFmtId="2" fontId="41" fillId="0" borderId="8" xfId="9" applyNumberFormat="1" applyFont="1" applyBorder="1" applyAlignment="1">
      <alignment horizontal="center"/>
    </xf>
    <xf numFmtId="2" fontId="41" fillId="0" borderId="16" xfId="9" applyNumberFormat="1" applyFont="1" applyBorder="1" applyAlignment="1">
      <alignment horizontal="center"/>
    </xf>
    <xf numFmtId="2" fontId="27" fillId="0" borderId="8" xfId="9" applyNumberFormat="1" applyFont="1" applyBorder="1" applyAlignment="1">
      <alignment horizontal="center" vertical="center"/>
    </xf>
    <xf numFmtId="165" fontId="43" fillId="0" borderId="8" xfId="9" applyNumberFormat="1" applyFont="1" applyBorder="1" applyAlignment="1">
      <alignment horizontal="center" vertical="center"/>
    </xf>
    <xf numFmtId="165" fontId="43" fillId="0" borderId="16" xfId="9" applyNumberFormat="1" applyFont="1" applyBorder="1" applyAlignment="1">
      <alignment horizontal="center" vertical="center"/>
    </xf>
    <xf numFmtId="0" fontId="43" fillId="20" borderId="4" xfId="9" applyFont="1" applyFill="1" applyBorder="1" applyAlignment="1">
      <alignment horizontal="center" vertical="center"/>
    </xf>
    <xf numFmtId="165" fontId="43" fillId="0" borderId="4" xfId="9" applyNumberFormat="1" applyFont="1" applyBorder="1" applyAlignment="1">
      <alignment horizontal="center" vertical="center"/>
    </xf>
    <xf numFmtId="165" fontId="43" fillId="0" borderId="23" xfId="9" applyNumberFormat="1" applyFont="1" applyBorder="1" applyAlignment="1">
      <alignment horizontal="center" vertical="center"/>
    </xf>
    <xf numFmtId="0" fontId="27" fillId="0" borderId="22" xfId="9" applyFont="1" applyBorder="1" applyAlignment="1">
      <alignment horizontal="center" vertical="center"/>
    </xf>
    <xf numFmtId="2" fontId="27" fillId="0" borderId="4" xfId="9" applyNumberFormat="1" applyFont="1" applyBorder="1" applyAlignment="1">
      <alignment horizontal="center" vertical="center"/>
    </xf>
    <xf numFmtId="0" fontId="27" fillId="0" borderId="23" xfId="9" applyFont="1" applyBorder="1" applyAlignment="1">
      <alignment horizontal="center" vertical="center"/>
    </xf>
    <xf numFmtId="0" fontId="34" fillId="20" borderId="0" xfId="9" applyFont="1" applyFill="1"/>
    <xf numFmtId="0" fontId="27" fillId="20" borderId="0" xfId="9" quotePrefix="1" applyFont="1" applyFill="1"/>
    <xf numFmtId="0" fontId="40" fillId="15" borderId="0" xfId="9" applyFont="1" applyFill="1" applyAlignment="1">
      <alignment horizontal="center"/>
    </xf>
    <xf numFmtId="0" fontId="1" fillId="0" borderId="0" xfId="9"/>
    <xf numFmtId="0" fontId="37" fillId="25" borderId="15" xfId="9" applyFont="1" applyFill="1" applyBorder="1" applyAlignment="1">
      <alignment horizontal="center" vertical="center" wrapText="1"/>
    </xf>
    <xf numFmtId="0" fontId="37" fillId="25" borderId="8" xfId="9" applyFont="1" applyFill="1" applyBorder="1" applyAlignment="1">
      <alignment horizontal="center" vertical="center" wrapText="1"/>
    </xf>
    <xf numFmtId="0" fontId="37" fillId="25" borderId="37" xfId="9" applyFont="1" applyFill="1" applyBorder="1" applyAlignment="1">
      <alignment horizontal="center" vertical="center" wrapText="1"/>
    </xf>
    <xf numFmtId="0" fontId="37" fillId="25" borderId="27" xfId="9" applyFont="1" applyFill="1" applyBorder="1" applyAlignment="1">
      <alignment horizontal="center" vertical="center" wrapText="1"/>
    </xf>
    <xf numFmtId="0" fontId="37" fillId="26" borderId="0" xfId="9" applyFont="1" applyFill="1" applyAlignment="1">
      <alignment horizontal="center" vertical="center" wrapText="1"/>
    </xf>
    <xf numFmtId="0" fontId="37" fillId="27" borderId="46" xfId="9" applyFont="1" applyFill="1" applyBorder="1" applyAlignment="1">
      <alignment horizontal="center" vertical="center"/>
    </xf>
    <xf numFmtId="0" fontId="46" fillId="28" borderId="46" xfId="9" applyFont="1" applyFill="1" applyBorder="1" applyAlignment="1">
      <alignment horizontal="center" vertical="center"/>
    </xf>
    <xf numFmtId="2" fontId="47" fillId="20" borderId="56" xfId="9" applyNumberFormat="1" applyFont="1" applyFill="1" applyBorder="1" applyAlignment="1">
      <alignment horizontal="center" vertical="center"/>
    </xf>
    <xf numFmtId="0" fontId="47" fillId="19" borderId="46" xfId="9" applyFont="1" applyFill="1" applyBorder="1" applyAlignment="1">
      <alignment horizontal="center" vertical="center"/>
    </xf>
    <xf numFmtId="2" fontId="27" fillId="0" borderId="9" xfId="9" applyNumberFormat="1" applyFont="1" applyBorder="1" applyAlignment="1">
      <alignment horizontal="center" vertical="center"/>
    </xf>
    <xf numFmtId="0" fontId="47" fillId="19" borderId="0" xfId="9" applyFont="1" applyFill="1" applyAlignment="1">
      <alignment horizontal="center" vertical="center"/>
    </xf>
    <xf numFmtId="2" fontId="37" fillId="0" borderId="9" xfId="9" applyNumberFormat="1" applyFont="1" applyBorder="1" applyAlignment="1">
      <alignment horizontal="center" vertical="center"/>
    </xf>
    <xf numFmtId="2" fontId="46" fillId="0" borderId="9" xfId="9" applyNumberFormat="1" applyFont="1" applyBorder="1" applyAlignment="1">
      <alignment horizontal="center" vertical="center"/>
    </xf>
    <xf numFmtId="0" fontId="47" fillId="19" borderId="57" xfId="9" applyFont="1" applyFill="1" applyBorder="1" applyAlignment="1">
      <alignment horizontal="center" vertical="center"/>
    </xf>
    <xf numFmtId="2" fontId="27" fillId="0" borderId="41" xfId="9" applyNumberFormat="1" applyFont="1" applyBorder="1" applyAlignment="1">
      <alignment horizontal="center" vertical="center"/>
    </xf>
    <xf numFmtId="2" fontId="39" fillId="0" borderId="9" xfId="9" applyNumberFormat="1" applyFont="1" applyBorder="1" applyAlignment="1">
      <alignment horizontal="center" vertical="center"/>
    </xf>
    <xf numFmtId="2" fontId="27" fillId="0" borderId="28" xfId="9" applyNumberFormat="1" applyFont="1" applyBorder="1" applyAlignment="1">
      <alignment horizontal="center" vertical="center"/>
    </xf>
    <xf numFmtId="2" fontId="27" fillId="15" borderId="0" xfId="9" applyNumberFormat="1" applyFont="1" applyFill="1" applyAlignment="1">
      <alignment horizontal="center" vertical="center"/>
    </xf>
    <xf numFmtId="0" fontId="27" fillId="20" borderId="0" xfId="9" quotePrefix="1" applyFont="1" applyFill="1" applyAlignment="1">
      <alignment vertical="top"/>
    </xf>
    <xf numFmtId="0" fontId="27" fillId="28" borderId="46" xfId="9" applyFont="1" applyFill="1" applyBorder="1" applyAlignment="1">
      <alignment horizontal="center" vertical="center"/>
    </xf>
    <xf numFmtId="2" fontId="27" fillId="20" borderId="0" xfId="9" applyNumberFormat="1" applyFont="1" applyFill="1"/>
    <xf numFmtId="0" fontId="37" fillId="25" borderId="43" xfId="9" applyFont="1" applyFill="1" applyBorder="1" applyAlignment="1">
      <alignment horizontal="center" vertical="center" wrapText="1"/>
    </xf>
    <xf numFmtId="0" fontId="27" fillId="20" borderId="0" xfId="9" applyFont="1" applyFill="1" applyAlignment="1">
      <alignment horizontal="center"/>
    </xf>
    <xf numFmtId="0" fontId="27" fillId="27" borderId="8" xfId="9" applyFont="1" applyFill="1" applyBorder="1" applyAlignment="1">
      <alignment horizontal="center" vertical="center"/>
    </xf>
    <xf numFmtId="2" fontId="27" fillId="20" borderId="8" xfId="9" applyNumberFormat="1" applyFont="1" applyFill="1" applyBorder="1" applyAlignment="1">
      <alignment horizontal="center" vertical="center"/>
    </xf>
    <xf numFmtId="0" fontId="46" fillId="28" borderId="8" xfId="9" applyFont="1" applyFill="1" applyBorder="1" applyAlignment="1">
      <alignment horizontal="center" vertical="center"/>
    </xf>
    <xf numFmtId="2" fontId="27" fillId="27" borderId="8" xfId="9" applyNumberFormat="1" applyFont="1" applyFill="1" applyBorder="1" applyAlignment="1">
      <alignment horizontal="center" vertical="center"/>
    </xf>
    <xf numFmtId="0" fontId="37" fillId="25" borderId="38" xfId="9" applyFont="1" applyFill="1" applyBorder="1" applyAlignment="1">
      <alignment horizontal="center" vertical="center" wrapText="1"/>
    </xf>
    <xf numFmtId="0" fontId="37" fillId="25" borderId="61" xfId="9" applyFont="1" applyFill="1" applyBorder="1" applyAlignment="1">
      <alignment horizontal="center" vertical="center" wrapText="1"/>
    </xf>
    <xf numFmtId="0" fontId="37" fillId="0" borderId="15" xfId="9" applyFont="1" applyBorder="1" applyAlignment="1">
      <alignment horizontal="center"/>
    </xf>
    <xf numFmtId="167" fontId="37" fillId="27" borderId="62" xfId="9" applyNumberFormat="1" applyFont="1" applyFill="1" applyBorder="1" applyAlignment="1">
      <alignment horizontal="center" vertical="center"/>
    </xf>
    <xf numFmtId="0" fontId="27" fillId="0" borderId="46" xfId="9" applyFont="1" applyBorder="1" applyAlignment="1">
      <alignment horizontal="center" vertical="center"/>
    </xf>
    <xf numFmtId="168" fontId="46" fillId="27" borderId="46" xfId="9" applyNumberFormat="1" applyFont="1" applyFill="1" applyBorder="1" applyAlignment="1">
      <alignment horizontal="center" vertical="center"/>
    </xf>
    <xf numFmtId="2" fontId="46" fillId="0" borderId="46" xfId="9" applyNumberFormat="1" applyFont="1" applyBorder="1" applyAlignment="1">
      <alignment horizontal="center" vertical="center"/>
    </xf>
    <xf numFmtId="2" fontId="46" fillId="0" borderId="57" xfId="9" applyNumberFormat="1" applyFont="1" applyBorder="1" applyAlignment="1">
      <alignment horizontal="center" vertical="center"/>
    </xf>
    <xf numFmtId="167" fontId="27" fillId="27" borderId="8" xfId="9" applyNumberFormat="1" applyFont="1" applyFill="1" applyBorder="1" applyAlignment="1">
      <alignment horizontal="center" vertical="center"/>
    </xf>
    <xf numFmtId="2" fontId="27" fillId="0" borderId="56" xfId="9" applyNumberFormat="1" applyFont="1" applyBorder="1" applyAlignment="1">
      <alignment horizontal="center" vertical="center"/>
    </xf>
    <xf numFmtId="2" fontId="27" fillId="0" borderId="46" xfId="9" applyNumberFormat="1" applyFont="1" applyBorder="1" applyAlignment="1">
      <alignment horizontal="center" vertical="center"/>
    </xf>
    <xf numFmtId="2" fontId="27" fillId="0" borderId="63" xfId="9" applyNumberFormat="1" applyFont="1" applyBorder="1" applyAlignment="1">
      <alignment horizontal="center" vertical="center"/>
    </xf>
    <xf numFmtId="167" fontId="37" fillId="27" borderId="64" xfId="9" applyNumberFormat="1" applyFont="1" applyFill="1" applyBorder="1" applyAlignment="1">
      <alignment horizontal="center" vertical="center"/>
    </xf>
    <xf numFmtId="167" fontId="37" fillId="27" borderId="46" xfId="9" applyNumberFormat="1" applyFont="1" applyFill="1" applyBorder="1" applyAlignment="1">
      <alignment horizontal="center" vertical="center"/>
    </xf>
    <xf numFmtId="167" fontId="37" fillId="27" borderId="65" xfId="9" applyNumberFormat="1" applyFont="1" applyFill="1" applyBorder="1" applyAlignment="1">
      <alignment horizontal="center" vertical="center"/>
    </xf>
    <xf numFmtId="0" fontId="37" fillId="0" borderId="38" xfId="9" applyFont="1" applyBorder="1" applyAlignment="1">
      <alignment horizontal="center"/>
    </xf>
    <xf numFmtId="0" fontId="27" fillId="0" borderId="22" xfId="9" applyFont="1" applyBorder="1" applyAlignment="1">
      <alignment horizontal="center"/>
    </xf>
    <xf numFmtId="168" fontId="46" fillId="27" borderId="0" xfId="9" applyNumberFormat="1" applyFont="1" applyFill="1" applyAlignment="1">
      <alignment horizontal="center" vertical="center"/>
    </xf>
    <xf numFmtId="167" fontId="27" fillId="27" borderId="37" xfId="9" applyNumberFormat="1" applyFont="1" applyFill="1" applyBorder="1" applyAlignment="1">
      <alignment horizontal="center" vertical="center"/>
    </xf>
    <xf numFmtId="168" fontId="27" fillId="15" borderId="0" xfId="9" applyNumberFormat="1" applyFont="1" applyFill="1"/>
    <xf numFmtId="0" fontId="48" fillId="30" borderId="26" xfId="9" applyFont="1" applyFill="1" applyBorder="1" applyAlignment="1">
      <alignment horizontal="center" vertical="center"/>
    </xf>
    <xf numFmtId="0" fontId="48" fillId="30" borderId="55" xfId="9" applyFont="1" applyFill="1" applyBorder="1" applyAlignment="1">
      <alignment horizontal="center" vertical="center"/>
    </xf>
    <xf numFmtId="0" fontId="48" fillId="30" borderId="53" xfId="9" applyFont="1" applyFill="1" applyBorder="1" applyAlignment="1">
      <alignment horizontal="center" vertical="center"/>
    </xf>
    <xf numFmtId="2" fontId="37" fillId="0" borderId="8" xfId="9" applyNumberFormat="1" applyFont="1" applyBorder="1" applyAlignment="1">
      <alignment horizontal="center" vertical="center"/>
    </xf>
    <xf numFmtId="2" fontId="37" fillId="0" borderId="46" xfId="9" applyNumberFormat="1" applyFont="1" applyBorder="1" applyAlignment="1">
      <alignment horizontal="center" vertical="center"/>
    </xf>
    <xf numFmtId="2" fontId="37" fillId="0" borderId="63" xfId="9" applyNumberFormat="1" applyFont="1" applyBorder="1" applyAlignment="1">
      <alignment horizontal="center" vertical="center"/>
    </xf>
    <xf numFmtId="0" fontId="49" fillId="15" borderId="0" xfId="9" applyFont="1" applyFill="1"/>
    <xf numFmtId="167" fontId="37" fillId="27" borderId="56" xfId="9" applyNumberFormat="1" applyFont="1" applyFill="1" applyBorder="1" applyAlignment="1">
      <alignment horizontal="center" vertical="center"/>
    </xf>
    <xf numFmtId="0" fontId="27" fillId="0" borderId="15" xfId="9" applyFont="1" applyBorder="1" applyAlignment="1">
      <alignment horizontal="center"/>
    </xf>
    <xf numFmtId="2" fontId="37" fillId="27" borderId="8" xfId="9" applyNumberFormat="1" applyFont="1" applyFill="1" applyBorder="1" applyAlignment="1">
      <alignment horizontal="center" vertical="center"/>
    </xf>
    <xf numFmtId="167" fontId="37" fillId="27" borderId="66" xfId="9" applyNumberFormat="1" applyFont="1" applyFill="1" applyBorder="1" applyAlignment="1">
      <alignment horizontal="center" vertical="center"/>
    </xf>
    <xf numFmtId="2" fontId="37" fillId="27" borderId="4" xfId="9" applyNumberFormat="1" applyFont="1" applyFill="1" applyBorder="1" applyAlignment="1">
      <alignment horizontal="center" vertical="center"/>
    </xf>
    <xf numFmtId="2" fontId="37" fillId="0" borderId="4" xfId="9" applyNumberFormat="1" applyFont="1" applyBorder="1" applyAlignment="1">
      <alignment horizontal="center" vertical="center"/>
    </xf>
    <xf numFmtId="2" fontId="37" fillId="0" borderId="66" xfId="9" applyNumberFormat="1" applyFont="1" applyBorder="1" applyAlignment="1">
      <alignment horizontal="center" vertical="center"/>
    </xf>
    <xf numFmtId="2" fontId="37" fillId="0" borderId="67" xfId="9" applyNumberFormat="1" applyFont="1" applyBorder="1" applyAlignment="1">
      <alignment horizontal="center" vertical="center"/>
    </xf>
    <xf numFmtId="0" fontId="50" fillId="31" borderId="0" xfId="9" applyFont="1" applyFill="1"/>
    <xf numFmtId="0" fontId="27" fillId="31" borderId="0" xfId="9" applyFont="1" applyFill="1"/>
    <xf numFmtId="0" fontId="37" fillId="25" borderId="16" xfId="9" applyFont="1" applyFill="1" applyBorder="1" applyAlignment="1">
      <alignment horizontal="center" vertical="center" wrapText="1"/>
    </xf>
    <xf numFmtId="0" fontId="46" fillId="28" borderId="65" xfId="9" applyFont="1" applyFill="1" applyBorder="1" applyAlignment="1">
      <alignment horizontal="center" vertical="center"/>
    </xf>
    <xf numFmtId="0" fontId="27" fillId="27" borderId="62" xfId="9" applyFont="1" applyFill="1" applyBorder="1" applyAlignment="1">
      <alignment horizontal="center" vertical="center"/>
    </xf>
    <xf numFmtId="168" fontId="27" fillId="27" borderId="56" xfId="9" applyNumberFormat="1" applyFont="1" applyFill="1" applyBorder="1" applyAlignment="1">
      <alignment horizontal="center" vertical="center"/>
    </xf>
    <xf numFmtId="0" fontId="27" fillId="27" borderId="56" xfId="9" applyFont="1" applyFill="1" applyBorder="1" applyAlignment="1">
      <alignment horizontal="center" vertical="center"/>
    </xf>
    <xf numFmtId="0" fontId="27" fillId="27" borderId="65" xfId="9" applyFont="1" applyFill="1" applyBorder="1" applyAlignment="1">
      <alignment horizontal="center" vertical="center"/>
    </xf>
    <xf numFmtId="0" fontId="27" fillId="27" borderId="46" xfId="9" applyFont="1" applyFill="1" applyBorder="1" applyAlignment="1">
      <alignment horizontal="center" vertical="center"/>
    </xf>
    <xf numFmtId="167" fontId="37" fillId="27" borderId="8" xfId="9" applyNumberFormat="1" applyFont="1" applyFill="1" applyBorder="1" applyAlignment="1">
      <alignment horizontal="center" vertical="center"/>
    </xf>
    <xf numFmtId="167" fontId="37" fillId="27" borderId="68" xfId="9" applyNumberFormat="1" applyFont="1" applyFill="1" applyBorder="1" applyAlignment="1">
      <alignment horizontal="center" vertical="center"/>
    </xf>
    <xf numFmtId="0" fontId="27" fillId="0" borderId="38" xfId="9" applyFont="1" applyBorder="1" applyAlignment="1">
      <alignment horizontal="center"/>
    </xf>
    <xf numFmtId="2" fontId="27" fillId="0" borderId="37" xfId="9" applyNumberFormat="1" applyFont="1" applyBorder="1" applyAlignment="1">
      <alignment horizontal="center" vertical="center"/>
    </xf>
    <xf numFmtId="2" fontId="37" fillId="0" borderId="37" xfId="9" applyNumberFormat="1" applyFont="1" applyBorder="1" applyAlignment="1">
      <alignment horizontal="center" vertical="center"/>
    </xf>
    <xf numFmtId="2" fontId="37" fillId="27" borderId="37" xfId="9" applyNumberFormat="1" applyFont="1" applyFill="1" applyBorder="1" applyAlignment="1">
      <alignment horizontal="center" vertical="center"/>
    </xf>
    <xf numFmtId="2" fontId="37" fillId="0" borderId="62" xfId="9" applyNumberFormat="1" applyFont="1" applyBorder="1" applyAlignment="1">
      <alignment horizontal="center" vertical="center"/>
    </xf>
    <xf numFmtId="2" fontId="37" fillId="0" borderId="69" xfId="9" applyNumberFormat="1" applyFont="1" applyBorder="1" applyAlignment="1">
      <alignment horizontal="center" vertical="center"/>
    </xf>
    <xf numFmtId="0" fontId="37" fillId="15" borderId="0" xfId="9" applyFont="1" applyFill="1" applyAlignment="1">
      <alignment horizontal="center" vertical="center"/>
    </xf>
    <xf numFmtId="0" fontId="27" fillId="15" borderId="0" xfId="9" applyFont="1" applyFill="1" applyAlignment="1">
      <alignment horizontal="center" vertical="center"/>
    </xf>
    <xf numFmtId="2" fontId="47" fillId="15" borderId="0" xfId="9" applyNumberFormat="1" applyFont="1" applyFill="1" applyAlignment="1">
      <alignment horizontal="center" vertical="center"/>
    </xf>
    <xf numFmtId="2" fontId="47" fillId="32" borderId="0" xfId="9" applyNumberFormat="1" applyFont="1" applyFill="1" applyAlignment="1">
      <alignment horizontal="center" vertical="center"/>
    </xf>
    <xf numFmtId="2" fontId="37" fillId="15" borderId="0" xfId="9" applyNumberFormat="1" applyFont="1" applyFill="1" applyAlignment="1">
      <alignment horizontal="center" vertical="center"/>
    </xf>
    <xf numFmtId="2" fontId="46" fillId="15" borderId="0" xfId="9" applyNumberFormat="1" applyFont="1" applyFill="1" applyAlignment="1">
      <alignment horizontal="center" vertical="center"/>
    </xf>
    <xf numFmtId="0" fontId="47" fillId="15" borderId="0" xfId="9" applyFont="1" applyFill="1" applyAlignment="1">
      <alignment horizontal="center" vertical="center"/>
    </xf>
    <xf numFmtId="2" fontId="39" fillId="15" borderId="0" xfId="9" applyNumberFormat="1" applyFont="1" applyFill="1" applyAlignment="1">
      <alignment horizontal="center" vertical="center"/>
    </xf>
    <xf numFmtId="0" fontId="27" fillId="15" borderId="0" xfId="9" applyFont="1" applyFill="1" applyAlignment="1">
      <alignment vertical="center"/>
    </xf>
    <xf numFmtId="0" fontId="51" fillId="0" borderId="31" xfId="9" applyFont="1" applyBorder="1" applyAlignment="1">
      <alignment horizontal="center" wrapText="1"/>
    </xf>
    <xf numFmtId="0" fontId="51" fillId="0" borderId="32" xfId="9" applyFont="1" applyBorder="1" applyAlignment="1">
      <alignment horizontal="center" wrapText="1"/>
    </xf>
    <xf numFmtId="0" fontId="34" fillId="0" borderId="32" xfId="9" applyFont="1" applyBorder="1" applyAlignment="1">
      <alignment horizontal="center" wrapText="1"/>
    </xf>
    <xf numFmtId="0" fontId="34" fillId="0" borderId="33" xfId="9" applyFont="1" applyBorder="1" applyAlignment="1">
      <alignment horizontal="center" wrapText="1"/>
    </xf>
    <xf numFmtId="0" fontId="34" fillId="0" borderId="31" xfId="9" applyFont="1" applyBorder="1" applyAlignment="1">
      <alignment horizontal="center" wrapText="1"/>
    </xf>
    <xf numFmtId="0" fontId="34" fillId="0" borderId="32" xfId="9" applyFont="1" applyBorder="1" applyAlignment="1">
      <alignment horizontal="center"/>
    </xf>
    <xf numFmtId="165" fontId="27" fillId="33" borderId="8" xfId="9" applyNumberFormat="1" applyFont="1" applyFill="1" applyBorder="1" applyAlignment="1">
      <alignment horizontal="center"/>
    </xf>
    <xf numFmtId="0" fontId="34" fillId="33" borderId="32" xfId="9" applyFont="1" applyFill="1" applyBorder="1" applyAlignment="1">
      <alignment horizontal="center" wrapText="1"/>
    </xf>
    <xf numFmtId="0" fontId="52" fillId="33" borderId="32" xfId="9" applyFont="1" applyFill="1" applyBorder="1" applyAlignment="1">
      <alignment horizontal="center" wrapText="1"/>
    </xf>
    <xf numFmtId="0" fontId="52" fillId="33" borderId="33" xfId="9" applyFont="1" applyFill="1" applyBorder="1" applyAlignment="1">
      <alignment horizontal="center" wrapText="1"/>
    </xf>
    <xf numFmtId="0" fontId="34" fillId="34" borderId="31" xfId="9" applyFont="1" applyFill="1" applyBorder="1" applyAlignment="1">
      <alignment horizontal="center" wrapText="1"/>
    </xf>
    <xf numFmtId="0" fontId="34" fillId="34" borderId="32" xfId="9" applyFont="1" applyFill="1" applyBorder="1" applyAlignment="1">
      <alignment horizontal="center"/>
    </xf>
    <xf numFmtId="0" fontId="52" fillId="34" borderId="32" xfId="9" applyFont="1" applyFill="1" applyBorder="1" applyAlignment="1">
      <alignment horizontal="center" wrapText="1"/>
    </xf>
    <xf numFmtId="0" fontId="52" fillId="34" borderId="33" xfId="9" applyFont="1" applyFill="1" applyBorder="1" applyAlignment="1">
      <alignment horizontal="center" wrapText="1"/>
    </xf>
    <xf numFmtId="0" fontId="52" fillId="0" borderId="32" xfId="9" applyFont="1" applyBorder="1" applyAlignment="1">
      <alignment horizontal="center" wrapText="1"/>
    </xf>
    <xf numFmtId="0" fontId="52" fillId="20" borderId="32" xfId="9" applyFont="1" applyFill="1" applyBorder="1" applyAlignment="1">
      <alignment horizontal="center" wrapText="1"/>
    </xf>
    <xf numFmtId="0" fontId="34" fillId="0" borderId="33" xfId="9" applyFont="1" applyBorder="1" applyAlignment="1">
      <alignment horizontal="center"/>
    </xf>
    <xf numFmtId="0" fontId="34" fillId="35" borderId="32" xfId="9" applyFont="1" applyFill="1" applyBorder="1" applyAlignment="1">
      <alignment horizontal="center" wrapText="1"/>
    </xf>
    <xf numFmtId="0" fontId="34" fillId="16" borderId="0" xfId="9" applyFont="1" applyFill="1" applyAlignment="1">
      <alignment horizontal="center"/>
    </xf>
    <xf numFmtId="2" fontId="27" fillId="16" borderId="15" xfId="9" applyNumberFormat="1" applyFont="1" applyFill="1" applyBorder="1" applyAlignment="1">
      <alignment horizontal="center"/>
    </xf>
    <xf numFmtId="165" fontId="27" fillId="16" borderId="8" xfId="9" applyNumberFormat="1" applyFont="1" applyFill="1" applyBorder="1" applyAlignment="1">
      <alignment horizontal="center"/>
    </xf>
    <xf numFmtId="165" fontId="27" fillId="16" borderId="16" xfId="9" applyNumberFormat="1" applyFont="1" applyFill="1" applyBorder="1" applyAlignment="1">
      <alignment horizontal="center"/>
    </xf>
    <xf numFmtId="165" fontId="27" fillId="16" borderId="15" xfId="9" applyNumberFormat="1" applyFont="1" applyFill="1" applyBorder="1" applyAlignment="1">
      <alignment horizontal="center"/>
    </xf>
    <xf numFmtId="165" fontId="27" fillId="33" borderId="0" xfId="9" applyNumberFormat="1" applyFont="1" applyFill="1" applyAlignment="1">
      <alignment horizontal="center"/>
    </xf>
    <xf numFmtId="1" fontId="27" fillId="33" borderId="8" xfId="9" applyNumberFormat="1" applyFont="1" applyFill="1" applyBorder="1" applyAlignment="1">
      <alignment horizontal="center"/>
    </xf>
    <xf numFmtId="165" fontId="27" fillId="33" borderId="27" xfId="9" applyNumberFormat="1" applyFont="1" applyFill="1" applyBorder="1" applyAlignment="1">
      <alignment horizontal="center"/>
    </xf>
    <xf numFmtId="165" fontId="27" fillId="34" borderId="70" xfId="9" applyNumberFormat="1" applyFont="1" applyFill="1" applyBorder="1" applyAlignment="1">
      <alignment horizontal="center"/>
    </xf>
    <xf numFmtId="165" fontId="27" fillId="34" borderId="46" xfId="9" applyNumberFormat="1" applyFont="1" applyFill="1" applyBorder="1" applyAlignment="1">
      <alignment horizontal="center"/>
    </xf>
    <xf numFmtId="0" fontId="34" fillId="34" borderId="46" xfId="9" applyFont="1" applyFill="1" applyBorder="1" applyAlignment="1">
      <alignment horizontal="center" wrapText="1"/>
    </xf>
    <xf numFmtId="165" fontId="27" fillId="34" borderId="0" xfId="9" applyNumberFormat="1" applyFont="1" applyFill="1" applyAlignment="1">
      <alignment horizontal="center"/>
    </xf>
    <xf numFmtId="165" fontId="39" fillId="34" borderId="57" xfId="9" applyNumberFormat="1" applyFont="1" applyFill="1" applyBorder="1" applyAlignment="1">
      <alignment horizontal="center"/>
    </xf>
    <xf numFmtId="165" fontId="27" fillId="16" borderId="70" xfId="9" applyNumberFormat="1" applyFont="1" applyFill="1" applyBorder="1" applyAlignment="1">
      <alignment horizontal="center"/>
    </xf>
    <xf numFmtId="165" fontId="27" fillId="16" borderId="46" xfId="9" applyNumberFormat="1" applyFont="1" applyFill="1" applyBorder="1" applyAlignment="1">
      <alignment horizontal="center"/>
    </xf>
    <xf numFmtId="165" fontId="27" fillId="20" borderId="46" xfId="9" applyNumberFormat="1" applyFont="1" applyFill="1" applyBorder="1" applyAlignment="1">
      <alignment horizontal="center"/>
    </xf>
    <xf numFmtId="165" fontId="27" fillId="16" borderId="46" xfId="9" applyNumberFormat="1" applyFont="1" applyFill="1" applyBorder="1" applyAlignment="1">
      <alignment horizontal="center" wrapText="1"/>
    </xf>
    <xf numFmtId="165" fontId="27" fillId="36" borderId="46" xfId="9" applyNumberFormat="1" applyFont="1" applyFill="1" applyBorder="1" applyAlignment="1">
      <alignment horizontal="center"/>
    </xf>
    <xf numFmtId="165" fontId="39" fillId="16" borderId="46" xfId="9" applyNumberFormat="1" applyFont="1" applyFill="1" applyBorder="1" applyAlignment="1">
      <alignment horizontal="center"/>
    </xf>
    <xf numFmtId="165" fontId="27" fillId="16" borderId="71" xfId="9" applyNumberFormat="1" applyFont="1" applyFill="1" applyBorder="1" applyAlignment="1">
      <alignment horizontal="center"/>
    </xf>
    <xf numFmtId="165" fontId="27" fillId="16" borderId="56" xfId="9" applyNumberFormat="1" applyFont="1" applyFill="1" applyBorder="1" applyAlignment="1">
      <alignment horizontal="center"/>
    </xf>
    <xf numFmtId="165" fontId="27" fillId="16" borderId="57" xfId="9" applyNumberFormat="1" applyFont="1" applyFill="1" applyBorder="1" applyAlignment="1">
      <alignment horizontal="center"/>
    </xf>
    <xf numFmtId="165" fontId="1" fillId="0" borderId="72" xfId="9" applyNumberFormat="1" applyBorder="1"/>
    <xf numFmtId="165" fontId="1" fillId="0" borderId="73" xfId="9" applyNumberFormat="1" applyBorder="1"/>
    <xf numFmtId="165" fontId="27" fillId="16" borderId="0" xfId="9" applyNumberFormat="1" applyFont="1" applyFill="1" applyAlignment="1">
      <alignment horizontal="center"/>
    </xf>
    <xf numFmtId="165" fontId="27" fillId="34" borderId="8" xfId="9" applyNumberFormat="1" applyFont="1" applyFill="1" applyBorder="1" applyAlignment="1">
      <alignment horizontal="center"/>
    </xf>
    <xf numFmtId="165" fontId="27" fillId="34" borderId="57" xfId="9" applyNumberFormat="1" applyFont="1" applyFill="1" applyBorder="1" applyAlignment="1">
      <alignment horizontal="center"/>
    </xf>
    <xf numFmtId="165" fontId="1" fillId="0" borderId="70" xfId="9" applyNumberFormat="1" applyBorder="1"/>
    <xf numFmtId="165" fontId="1" fillId="0" borderId="71" xfId="9" applyNumberFormat="1" applyBorder="1"/>
    <xf numFmtId="0" fontId="34" fillId="37" borderId="0" xfId="9" applyFont="1" applyFill="1"/>
    <xf numFmtId="0" fontId="27" fillId="37" borderId="0" xfId="9" applyFont="1" applyFill="1"/>
    <xf numFmtId="0" fontId="53" fillId="37" borderId="0" xfId="9" quotePrefix="1" applyFont="1" applyFill="1"/>
    <xf numFmtId="0" fontId="54" fillId="37" borderId="0" xfId="9" applyFont="1" applyFill="1"/>
    <xf numFmtId="0" fontId="54" fillId="37" borderId="0" xfId="9" quotePrefix="1" applyFont="1" applyFill="1"/>
    <xf numFmtId="0" fontId="1" fillId="37" borderId="0" xfId="9" applyFill="1"/>
    <xf numFmtId="0" fontId="55" fillId="37" borderId="0" xfId="9" applyFont="1" applyFill="1"/>
    <xf numFmtId="0" fontId="46" fillId="38" borderId="46" xfId="9" applyFont="1" applyFill="1" applyBorder="1" applyAlignment="1">
      <alignment horizontal="center" vertical="center"/>
    </xf>
    <xf numFmtId="0" fontId="47" fillId="38" borderId="46" xfId="9" applyFont="1" applyFill="1" applyBorder="1" applyAlignment="1">
      <alignment horizontal="center" vertical="center"/>
    </xf>
    <xf numFmtId="2" fontId="27" fillId="38" borderId="9" xfId="9" applyNumberFormat="1" applyFont="1" applyFill="1" applyBorder="1" applyAlignment="1">
      <alignment horizontal="center" vertical="center"/>
    </xf>
    <xf numFmtId="0" fontId="47" fillId="38" borderId="0" xfId="9" applyFont="1" applyFill="1" applyAlignment="1">
      <alignment horizontal="center" vertical="center"/>
    </xf>
    <xf numFmtId="2" fontId="37" fillId="38" borderId="9" xfId="9" applyNumberFormat="1" applyFont="1" applyFill="1" applyBorder="1" applyAlignment="1">
      <alignment horizontal="center" vertical="center"/>
    </xf>
    <xf numFmtId="2" fontId="46" fillId="38" borderId="9" xfId="9" applyNumberFormat="1" applyFont="1" applyFill="1" applyBorder="1" applyAlignment="1">
      <alignment horizontal="center" vertical="center"/>
    </xf>
    <xf numFmtId="0" fontId="47" fillId="38" borderId="57" xfId="9" applyFont="1" applyFill="1" applyBorder="1" applyAlignment="1">
      <alignment horizontal="center" vertical="center"/>
    </xf>
    <xf numFmtId="2" fontId="27" fillId="38" borderId="41" xfId="9" applyNumberFormat="1" applyFont="1" applyFill="1" applyBorder="1" applyAlignment="1">
      <alignment horizontal="center" vertical="center"/>
    </xf>
    <xf numFmtId="2" fontId="39" fillId="38" borderId="9" xfId="9" applyNumberFormat="1" applyFont="1" applyFill="1" applyBorder="1" applyAlignment="1">
      <alignment horizontal="center" vertical="center"/>
    </xf>
    <xf numFmtId="2" fontId="27" fillId="38" borderId="28" xfId="9" applyNumberFormat="1" applyFont="1" applyFill="1" applyBorder="1" applyAlignment="1">
      <alignment horizontal="center" vertical="center"/>
    </xf>
    <xf numFmtId="0" fontId="27" fillId="37" borderId="0" xfId="9" quotePrefix="1" applyFont="1" applyFill="1"/>
    <xf numFmtId="2" fontId="37" fillId="0" borderId="41" xfId="9" applyNumberFormat="1" applyFont="1" applyBorder="1" applyAlignment="1">
      <alignment horizontal="center" vertical="center"/>
    </xf>
    <xf numFmtId="2" fontId="27" fillId="37" borderId="0" xfId="9" applyNumberFormat="1" applyFont="1" applyFill="1"/>
    <xf numFmtId="0" fontId="47" fillId="19" borderId="76" xfId="9" applyFont="1" applyFill="1" applyBorder="1" applyAlignment="1">
      <alignment horizontal="center" vertical="center"/>
    </xf>
    <xf numFmtId="2" fontId="27" fillId="20" borderId="8" xfId="9" applyNumberFormat="1" applyFont="1" applyFill="1" applyBorder="1" applyAlignment="1">
      <alignment horizontal="center" vertical="center" wrapText="1"/>
    </xf>
    <xf numFmtId="0" fontId="37" fillId="0" borderId="75" xfId="9" applyFont="1" applyBorder="1" applyAlignment="1">
      <alignment horizontal="center"/>
    </xf>
    <xf numFmtId="0" fontId="27" fillId="17" borderId="46" xfId="9" applyFont="1" applyFill="1" applyBorder="1" applyAlignment="1">
      <alignment horizontal="center" vertical="center" readingOrder="1"/>
    </xf>
    <xf numFmtId="0" fontId="27" fillId="0" borderId="56" xfId="9" applyFont="1" applyBorder="1" applyAlignment="1">
      <alignment horizontal="center" vertical="center"/>
    </xf>
    <xf numFmtId="0" fontId="27" fillId="0" borderId="57" xfId="9" applyFont="1" applyBorder="1" applyAlignment="1">
      <alignment horizontal="center" vertical="center"/>
    </xf>
    <xf numFmtId="0" fontId="37" fillId="38" borderId="75" xfId="9" applyFont="1" applyFill="1" applyBorder="1" applyAlignment="1">
      <alignment horizontal="center"/>
    </xf>
    <xf numFmtId="0" fontId="46" fillId="38" borderId="65" xfId="9" applyFont="1" applyFill="1" applyBorder="1" applyAlignment="1">
      <alignment horizontal="center" vertical="center"/>
    </xf>
    <xf numFmtId="0" fontId="27" fillId="38" borderId="46" xfId="9" applyFont="1" applyFill="1" applyBorder="1" applyAlignment="1">
      <alignment horizontal="center" vertical="center" readingOrder="1"/>
    </xf>
    <xf numFmtId="0" fontId="27" fillId="38" borderId="56" xfId="9" applyFont="1" applyFill="1" applyBorder="1" applyAlignment="1">
      <alignment horizontal="center" vertical="center"/>
    </xf>
    <xf numFmtId="0" fontId="27" fillId="38" borderId="57" xfId="9" applyFont="1" applyFill="1" applyBorder="1" applyAlignment="1">
      <alignment horizontal="center" vertical="center"/>
    </xf>
    <xf numFmtId="2" fontId="46" fillId="38" borderId="46" xfId="9" applyNumberFormat="1" applyFont="1" applyFill="1" applyBorder="1" applyAlignment="1">
      <alignment horizontal="center" vertical="center"/>
    </xf>
    <xf numFmtId="2" fontId="46" fillId="38" borderId="57" xfId="9" applyNumberFormat="1" applyFont="1" applyFill="1" applyBorder="1" applyAlignment="1">
      <alignment horizontal="center" vertical="center"/>
    </xf>
    <xf numFmtId="0" fontId="46" fillId="38" borderId="8" xfId="9" applyFont="1" applyFill="1" applyBorder="1" applyAlignment="1">
      <alignment horizontal="center" vertical="center"/>
    </xf>
    <xf numFmtId="167" fontId="27" fillId="38" borderId="8" xfId="9" applyNumberFormat="1" applyFont="1" applyFill="1" applyBorder="1" applyAlignment="1">
      <alignment horizontal="center" vertical="center"/>
    </xf>
    <xf numFmtId="2" fontId="27" fillId="38" borderId="56" xfId="9" applyNumberFormat="1" applyFont="1" applyFill="1" applyBorder="1" applyAlignment="1">
      <alignment horizontal="center" vertical="center"/>
    </xf>
    <xf numFmtId="2" fontId="27" fillId="38" borderId="46" xfId="9" applyNumberFormat="1" applyFont="1" applyFill="1" applyBorder="1" applyAlignment="1">
      <alignment horizontal="center" vertical="center"/>
    </xf>
    <xf numFmtId="2" fontId="27" fillId="38" borderId="63" xfId="9" applyNumberFormat="1" applyFont="1" applyFill="1" applyBorder="1" applyAlignment="1">
      <alignment horizontal="center" vertical="center"/>
    </xf>
    <xf numFmtId="0" fontId="46" fillId="17" borderId="65" xfId="9" applyFont="1" applyFill="1" applyBorder="1" applyAlignment="1">
      <alignment horizontal="center" vertical="center"/>
    </xf>
    <xf numFmtId="0" fontId="27" fillId="0" borderId="74" xfId="9" applyFont="1" applyBorder="1" applyAlignment="1">
      <alignment horizontal="center"/>
    </xf>
    <xf numFmtId="0" fontId="37" fillId="38" borderId="15" xfId="9" applyFont="1" applyFill="1" applyBorder="1" applyAlignment="1">
      <alignment horizontal="center"/>
    </xf>
    <xf numFmtId="167" fontId="37" fillId="38" borderId="27" xfId="9" applyNumberFormat="1" applyFont="1" applyFill="1" applyBorder="1" applyAlignment="1">
      <alignment horizontal="center" vertical="center"/>
    </xf>
    <xf numFmtId="167" fontId="37" fillId="38" borderId="46" xfId="9" applyNumberFormat="1" applyFont="1" applyFill="1" applyBorder="1" applyAlignment="1">
      <alignment horizontal="center" vertical="center"/>
    </xf>
    <xf numFmtId="167" fontId="37" fillId="27" borderId="37" xfId="9" applyNumberFormat="1" applyFont="1" applyFill="1" applyBorder="1" applyAlignment="1">
      <alignment horizontal="center" vertical="center"/>
    </xf>
    <xf numFmtId="167" fontId="37" fillId="27" borderId="27" xfId="9" applyNumberFormat="1" applyFont="1" applyFill="1" applyBorder="1" applyAlignment="1">
      <alignment horizontal="center" vertical="center"/>
    </xf>
    <xf numFmtId="0" fontId="27" fillId="0" borderId="75" xfId="9" applyFont="1" applyBorder="1" applyAlignment="1">
      <alignment horizontal="center"/>
    </xf>
    <xf numFmtId="167" fontId="37" fillId="27" borderId="57" xfId="9" applyNumberFormat="1" applyFont="1" applyFill="1" applyBorder="1" applyAlignment="1">
      <alignment horizontal="center" vertical="center"/>
    </xf>
    <xf numFmtId="167" fontId="37" fillId="27" borderId="77" xfId="9" applyNumberFormat="1" applyFont="1" applyFill="1" applyBorder="1" applyAlignment="1">
      <alignment horizontal="center" vertical="center"/>
    </xf>
    <xf numFmtId="2" fontId="27" fillId="0" borderId="21" xfId="9" applyNumberFormat="1" applyFont="1" applyBorder="1" applyAlignment="1">
      <alignment horizontal="center" vertical="center"/>
    </xf>
    <xf numFmtId="0" fontId="37" fillId="0" borderId="78" xfId="9" applyFont="1" applyBorder="1" applyAlignment="1">
      <alignment horizontal="center"/>
    </xf>
    <xf numFmtId="167" fontId="37" fillId="27" borderId="79" xfId="9" applyNumberFormat="1" applyFont="1" applyFill="1" applyBorder="1" applyAlignment="1">
      <alignment horizontal="center" vertical="center"/>
    </xf>
    <xf numFmtId="167" fontId="37" fillId="27" borderId="80" xfId="9" applyNumberFormat="1" applyFont="1" applyFill="1" applyBorder="1" applyAlignment="1">
      <alignment horizontal="center" vertical="center"/>
    </xf>
    <xf numFmtId="167" fontId="37" fillId="27" borderId="81" xfId="9" applyNumberFormat="1" applyFont="1" applyFill="1" applyBorder="1" applyAlignment="1">
      <alignment horizontal="center" vertical="center"/>
    </xf>
    <xf numFmtId="2" fontId="27" fillId="0" borderId="79" xfId="9" applyNumberFormat="1" applyFont="1" applyBorder="1" applyAlignment="1">
      <alignment horizontal="center" vertical="center"/>
    </xf>
    <xf numFmtId="2" fontId="37" fillId="0" borderId="79" xfId="9" applyNumberFormat="1" applyFont="1" applyBorder="1" applyAlignment="1">
      <alignment horizontal="center" vertical="center"/>
    </xf>
    <xf numFmtId="167" fontId="27" fillId="27" borderId="79" xfId="9" applyNumberFormat="1" applyFont="1" applyFill="1" applyBorder="1" applyAlignment="1">
      <alignment horizontal="center" vertical="center"/>
    </xf>
    <xf numFmtId="2" fontId="37" fillId="0" borderId="64" xfId="9" applyNumberFormat="1" applyFont="1" applyBorder="1" applyAlignment="1">
      <alignment horizontal="center" vertical="center"/>
    </xf>
    <xf numFmtId="2" fontId="37" fillId="0" borderId="73" xfId="9" applyNumberFormat="1" applyFont="1" applyBorder="1" applyAlignment="1">
      <alignment horizontal="center" vertical="center"/>
    </xf>
    <xf numFmtId="0" fontId="37" fillId="0" borderId="82" xfId="9" applyFont="1" applyBorder="1" applyAlignment="1">
      <alignment horizontal="center"/>
    </xf>
    <xf numFmtId="2" fontId="37" fillId="0" borderId="71" xfId="9" applyNumberFormat="1" applyFont="1" applyBorder="1" applyAlignment="1">
      <alignment horizontal="center" vertical="center"/>
    </xf>
    <xf numFmtId="0" fontId="27" fillId="0" borderId="82" xfId="9" applyFont="1" applyBorder="1" applyAlignment="1">
      <alignment horizontal="center"/>
    </xf>
    <xf numFmtId="0" fontId="27" fillId="0" borderId="83" xfId="9" applyFont="1" applyBorder="1" applyAlignment="1">
      <alignment horizontal="center"/>
    </xf>
    <xf numFmtId="167" fontId="37" fillId="27" borderId="84" xfId="9" applyNumberFormat="1" applyFont="1" applyFill="1" applyBorder="1" applyAlignment="1">
      <alignment horizontal="center" vertical="center"/>
    </xf>
    <xf numFmtId="2" fontId="27" fillId="0" borderId="85" xfId="9" applyNumberFormat="1" applyFont="1" applyBorder="1" applyAlignment="1">
      <alignment horizontal="center" vertical="center"/>
    </xf>
    <xf numFmtId="2" fontId="37" fillId="0" borderId="85" xfId="9" applyNumberFormat="1" applyFont="1" applyBorder="1" applyAlignment="1">
      <alignment horizontal="center" vertical="center"/>
    </xf>
    <xf numFmtId="2" fontId="37" fillId="27" borderId="85" xfId="9" applyNumberFormat="1" applyFont="1" applyFill="1" applyBorder="1" applyAlignment="1">
      <alignment horizontal="center" vertical="center"/>
    </xf>
    <xf numFmtId="2" fontId="37" fillId="0" borderId="84" xfId="9" applyNumberFormat="1" applyFont="1" applyBorder="1" applyAlignment="1">
      <alignment horizontal="center" vertical="center"/>
    </xf>
    <xf numFmtId="2" fontId="37" fillId="0" borderId="86" xfId="9" applyNumberFormat="1" applyFont="1" applyBorder="1" applyAlignment="1">
      <alignment horizontal="center" vertical="center"/>
    </xf>
    <xf numFmtId="0" fontId="37" fillId="0" borderId="24" xfId="9" applyFont="1" applyBorder="1" applyAlignment="1">
      <alignment horizontal="center"/>
    </xf>
    <xf numFmtId="167" fontId="37" fillId="27" borderId="9" xfId="9" applyNumberFormat="1" applyFont="1" applyFill="1" applyBorder="1" applyAlignment="1">
      <alignment horizontal="center" vertical="center"/>
    </xf>
    <xf numFmtId="167" fontId="37" fillId="27" borderId="87" xfId="9" applyNumberFormat="1" applyFont="1" applyFill="1" applyBorder="1" applyAlignment="1">
      <alignment horizontal="center" vertical="center"/>
    </xf>
    <xf numFmtId="167" fontId="27" fillId="27" borderId="9" xfId="9" applyNumberFormat="1" applyFont="1" applyFill="1" applyBorder="1" applyAlignment="1">
      <alignment horizontal="center" vertical="center"/>
    </xf>
    <xf numFmtId="2" fontId="37" fillId="0" borderId="76" xfId="9" applyNumberFormat="1" applyFont="1" applyBorder="1" applyAlignment="1">
      <alignment horizontal="center" vertical="center"/>
    </xf>
    <xf numFmtId="2" fontId="37" fillId="0" borderId="88" xfId="9" applyNumberFormat="1" applyFont="1" applyBorder="1" applyAlignment="1">
      <alignment horizontal="center" vertical="center"/>
    </xf>
    <xf numFmtId="0" fontId="56" fillId="0" borderId="31" xfId="9" applyFont="1" applyBorder="1" applyAlignment="1">
      <alignment wrapText="1"/>
    </xf>
    <xf numFmtId="0" fontId="56" fillId="0" borderId="32" xfId="9" applyFont="1" applyBorder="1" applyAlignment="1">
      <alignment wrapText="1"/>
    </xf>
    <xf numFmtId="2" fontId="27" fillId="16" borderId="8" xfId="9" applyNumberFormat="1" applyFont="1" applyFill="1" applyBorder="1" applyAlignment="1">
      <alignment horizontal="center"/>
    </xf>
    <xf numFmtId="0" fontId="53" fillId="39" borderId="70" xfId="9" applyFont="1" applyFill="1" applyBorder="1" applyAlignment="1">
      <alignment wrapText="1"/>
    </xf>
    <xf numFmtId="0" fontId="53" fillId="39" borderId="46" xfId="9" applyFont="1" applyFill="1" applyBorder="1" applyAlignment="1">
      <alignment wrapText="1"/>
    </xf>
    <xf numFmtId="0" fontId="53" fillId="39" borderId="46" xfId="9" applyFont="1" applyFill="1" applyBorder="1"/>
    <xf numFmtId="0" fontId="53" fillId="39" borderId="8" xfId="9" applyFont="1" applyFill="1" applyBorder="1" applyAlignment="1">
      <alignment wrapText="1"/>
    </xf>
    <xf numFmtId="0" fontId="57" fillId="39" borderId="46" xfId="9" applyFont="1" applyFill="1" applyBorder="1"/>
    <xf numFmtId="0" fontId="58" fillId="39" borderId="8" xfId="9" applyFont="1" applyFill="1" applyBorder="1"/>
    <xf numFmtId="0" fontId="53" fillId="39" borderId="0" xfId="9" applyFont="1" applyFill="1" applyAlignment="1">
      <alignment wrapText="1"/>
    </xf>
    <xf numFmtId="0" fontId="53" fillId="39" borderId="0" xfId="9" applyFont="1" applyFill="1"/>
    <xf numFmtId="0" fontId="27" fillId="16" borderId="89" xfId="9" applyFont="1" applyFill="1" applyBorder="1"/>
    <xf numFmtId="0" fontId="53" fillId="39" borderId="90" xfId="9" applyFont="1" applyFill="1" applyBorder="1"/>
    <xf numFmtId="0" fontId="53" fillId="39" borderId="90" xfId="9" applyFont="1" applyFill="1" applyBorder="1" applyAlignment="1">
      <alignment wrapText="1"/>
    </xf>
    <xf numFmtId="0" fontId="53" fillId="39" borderId="91" xfId="9" applyFont="1" applyFill="1" applyBorder="1"/>
    <xf numFmtId="0" fontId="27" fillId="16" borderId="0" xfId="9" applyFont="1" applyFill="1" applyAlignment="1">
      <alignment wrapText="1"/>
    </xf>
    <xf numFmtId="0" fontId="27" fillId="16" borderId="92" xfId="9" applyFont="1" applyFill="1" applyBorder="1"/>
    <xf numFmtId="165" fontId="53" fillId="39" borderId="0" xfId="9" applyNumberFormat="1" applyFont="1" applyFill="1" applyAlignment="1">
      <alignment wrapText="1"/>
    </xf>
    <xf numFmtId="165" fontId="53" fillId="39" borderId="93" xfId="9" applyNumberFormat="1" applyFont="1" applyFill="1" applyBorder="1"/>
    <xf numFmtId="0" fontId="53" fillId="39" borderId="93" xfId="9" applyFont="1" applyFill="1" applyBorder="1"/>
    <xf numFmtId="0" fontId="53" fillId="39" borderId="94" xfId="9" applyFont="1" applyFill="1" applyBorder="1"/>
    <xf numFmtId="0" fontId="53" fillId="39" borderId="95" xfId="9" applyFont="1" applyFill="1" applyBorder="1" applyAlignment="1">
      <alignment wrapText="1"/>
    </xf>
    <xf numFmtId="0" fontId="53" fillId="39" borderId="95" xfId="9" applyFont="1" applyFill="1" applyBorder="1"/>
    <xf numFmtId="0" fontId="53" fillId="39" borderId="96" xfId="9" applyFont="1" applyFill="1" applyBorder="1"/>
    <xf numFmtId="2" fontId="39" fillId="16" borderId="8" xfId="9" applyNumberFormat="1" applyFont="1" applyFill="1" applyBorder="1" applyAlignment="1">
      <alignment horizontal="center"/>
    </xf>
    <xf numFmtId="2" fontId="11" fillId="0" borderId="0" xfId="0" applyNumberFormat="1" applyFont="1" applyAlignment="1">
      <alignment horizontal="center" vertical="center"/>
    </xf>
    <xf numFmtId="2" fontId="17" fillId="0" borderId="0" xfId="0" applyNumberFormat="1" applyFont="1" applyAlignment="1">
      <alignment horizontal="center" vertical="center"/>
    </xf>
    <xf numFmtId="2" fontId="18" fillId="0" borderId="0" xfId="0" applyNumberFormat="1" applyFont="1" applyAlignment="1">
      <alignment horizontal="center" vertical="center"/>
    </xf>
    <xf numFmtId="0" fontId="3" fillId="9" borderId="39" xfId="0" applyFont="1" applyFill="1" applyBorder="1" applyAlignment="1">
      <alignment horizontal="center" vertical="center"/>
    </xf>
    <xf numFmtId="2" fontId="3" fillId="6" borderId="39" xfId="0" applyNumberFormat="1" applyFont="1" applyFill="1" applyBorder="1" applyAlignment="1">
      <alignment horizontal="center" vertical="center"/>
    </xf>
    <xf numFmtId="2" fontId="3" fillId="9" borderId="54" xfId="0" applyNumberFormat="1" applyFont="1" applyFill="1" applyBorder="1" applyAlignment="1">
      <alignment horizontal="center" vertical="center"/>
    </xf>
    <xf numFmtId="2" fontId="3" fillId="9" borderId="39" xfId="0" applyNumberFormat="1" applyFont="1" applyFill="1" applyBorder="1" applyAlignment="1">
      <alignment horizontal="center" vertical="center"/>
    </xf>
    <xf numFmtId="0" fontId="48" fillId="29" borderId="54" xfId="9" applyFont="1" applyFill="1" applyBorder="1" applyAlignment="1">
      <alignment horizontal="center" vertical="center"/>
    </xf>
    <xf numFmtId="0" fontId="48" fillId="29" borderId="39" xfId="9" applyFont="1" applyFill="1" applyBorder="1" applyAlignment="1">
      <alignment horizontal="center" vertical="center"/>
    </xf>
    <xf numFmtId="0" fontId="48" fillId="29" borderId="55" xfId="9" applyFont="1" applyFill="1" applyBorder="1" applyAlignment="1">
      <alignment horizontal="center" vertical="center"/>
    </xf>
    <xf numFmtId="0" fontId="48" fillId="30" borderId="26" xfId="9" applyFont="1" applyFill="1" applyBorder="1" applyAlignment="1">
      <alignment horizontal="center" vertical="center"/>
    </xf>
    <xf numFmtId="0" fontId="48" fillId="30" borderId="55" xfId="9" applyFont="1" applyFill="1" applyBorder="1" applyAlignment="1">
      <alignment horizontal="center" vertical="center"/>
    </xf>
    <xf numFmtId="0" fontId="48" fillId="30" borderId="53" xfId="9" applyFont="1" applyFill="1" applyBorder="1" applyAlignment="1">
      <alignment horizontal="center" vertical="center"/>
    </xf>
    <xf numFmtId="0" fontId="48" fillId="29" borderId="26" xfId="9" applyFont="1" applyFill="1" applyBorder="1" applyAlignment="1">
      <alignment horizontal="center" vertical="center"/>
    </xf>
    <xf numFmtId="0" fontId="43" fillId="20" borderId="15" xfId="9" applyFont="1" applyFill="1" applyBorder="1" applyAlignment="1">
      <alignment horizontal="center" vertical="center"/>
    </xf>
    <xf numFmtId="0" fontId="43" fillId="20" borderId="8" xfId="9" applyFont="1" applyFill="1" applyBorder="1" applyAlignment="1">
      <alignment horizontal="center" vertical="center"/>
    </xf>
    <xf numFmtId="0" fontId="43" fillId="20" borderId="22" xfId="9" applyFont="1" applyFill="1" applyBorder="1" applyAlignment="1">
      <alignment horizontal="center" vertical="center"/>
    </xf>
    <xf numFmtId="0" fontId="43" fillId="20" borderId="4" xfId="9" applyFont="1" applyFill="1" applyBorder="1" applyAlignment="1">
      <alignment horizontal="center" vertical="center"/>
    </xf>
    <xf numFmtId="0" fontId="27" fillId="0" borderId="15" xfId="9" applyFont="1" applyBorder="1" applyAlignment="1">
      <alignment horizontal="center" vertical="center"/>
    </xf>
    <xf numFmtId="0" fontId="27" fillId="0" borderId="8" xfId="9" applyFont="1" applyBorder="1" applyAlignment="1">
      <alignment horizontal="center" vertical="center"/>
    </xf>
    <xf numFmtId="0" fontId="27" fillId="0" borderId="16" xfId="9" applyFont="1" applyBorder="1" applyAlignment="1">
      <alignment horizontal="center" vertical="center"/>
    </xf>
    <xf numFmtId="0" fontId="40" fillId="24" borderId="26" xfId="9" applyFont="1" applyFill="1" applyBorder="1" applyAlignment="1">
      <alignment horizontal="center"/>
    </xf>
    <xf numFmtId="0" fontId="40" fillId="24" borderId="55" xfId="9" applyFont="1" applyFill="1" applyBorder="1" applyAlignment="1">
      <alignment horizontal="center"/>
    </xf>
    <xf numFmtId="0" fontId="37" fillId="25" borderId="1" xfId="9" applyFont="1" applyFill="1" applyBorder="1" applyAlignment="1">
      <alignment horizontal="center" vertical="center" wrapText="1"/>
    </xf>
    <xf numFmtId="0" fontId="37" fillId="25" borderId="2" xfId="9" applyFont="1" applyFill="1" applyBorder="1" applyAlignment="1">
      <alignment horizontal="center" vertical="center" wrapText="1"/>
    </xf>
    <xf numFmtId="0" fontId="37" fillId="25" borderId="47" xfId="9" applyFont="1" applyFill="1" applyBorder="1" applyAlignment="1">
      <alignment horizontal="center" vertical="center" wrapText="1"/>
    </xf>
    <xf numFmtId="0" fontId="37" fillId="25" borderId="58" xfId="9" applyFont="1" applyFill="1" applyBorder="1" applyAlignment="1">
      <alignment horizontal="center" vertical="center" wrapText="1"/>
    </xf>
    <xf numFmtId="0" fontId="37" fillId="25" borderId="59" xfId="9" applyFont="1" applyFill="1" applyBorder="1" applyAlignment="1">
      <alignment horizontal="center" vertical="center" wrapText="1"/>
    </xf>
    <xf numFmtId="0" fontId="37" fillId="25" borderId="60" xfId="9" applyFont="1" applyFill="1" applyBorder="1" applyAlignment="1">
      <alignment horizontal="center" vertical="center" wrapText="1"/>
    </xf>
    <xf numFmtId="0" fontId="36" fillId="18" borderId="0" xfId="9" applyFont="1" applyFill="1" applyAlignment="1">
      <alignment horizontal="center" vertical="center"/>
    </xf>
    <xf numFmtId="0" fontId="36" fillId="18" borderId="7" xfId="9" applyFont="1" applyFill="1" applyBorder="1" applyAlignment="1">
      <alignment horizontal="center" vertical="center"/>
    </xf>
    <xf numFmtId="0" fontId="34" fillId="0" borderId="50" xfId="9" applyFont="1" applyBorder="1" applyAlignment="1">
      <alignment horizontal="center" vertical="center" wrapText="1"/>
    </xf>
    <xf numFmtId="0" fontId="34" fillId="0" borderId="51" xfId="9" applyFont="1" applyBorder="1" applyAlignment="1">
      <alignment horizontal="center" vertical="center" wrapText="1"/>
    </xf>
    <xf numFmtId="0" fontId="34" fillId="0" borderId="52" xfId="9" applyFont="1" applyBorder="1" applyAlignment="1">
      <alignment horizontal="center" vertical="center" wrapText="1"/>
    </xf>
    <xf numFmtId="0" fontId="27" fillId="20" borderId="1" xfId="9" applyFont="1" applyFill="1" applyBorder="1" applyAlignment="1">
      <alignment horizontal="center" vertical="center"/>
    </xf>
    <xf numFmtId="0" fontId="27" fillId="20" borderId="14" xfId="9" applyFont="1" applyFill="1" applyBorder="1" applyAlignment="1">
      <alignment horizontal="center" vertical="center"/>
    </xf>
    <xf numFmtId="0" fontId="27" fillId="20" borderId="3" xfId="9" applyFont="1" applyFill="1" applyBorder="1" applyAlignment="1">
      <alignment horizontal="center" vertical="center"/>
    </xf>
    <xf numFmtId="0" fontId="27" fillId="20" borderId="20" xfId="9" applyFont="1" applyFill="1" applyBorder="1" applyAlignment="1">
      <alignment horizontal="center" vertical="center"/>
    </xf>
    <xf numFmtId="0" fontId="27" fillId="20" borderId="54" xfId="9" applyFont="1" applyFill="1" applyBorder="1" applyAlignment="1">
      <alignment horizontal="center" vertical="center"/>
    </xf>
    <xf numFmtId="0" fontId="27" fillId="20" borderId="41" xfId="9" applyFont="1" applyFill="1" applyBorder="1" applyAlignment="1">
      <alignment horizontal="center" vertical="center"/>
    </xf>
    <xf numFmtId="0" fontId="43" fillId="20" borderId="24" xfId="9" applyFont="1" applyFill="1" applyBorder="1" applyAlignment="1">
      <alignment horizontal="center" vertical="center"/>
    </xf>
    <xf numFmtId="0" fontId="43" fillId="20" borderId="9" xfId="9" applyFont="1" applyFill="1" applyBorder="1" applyAlignment="1">
      <alignment horizontal="center" vertical="center"/>
    </xf>
    <xf numFmtId="0" fontId="29" fillId="17" borderId="43" xfId="9" applyFont="1" applyFill="1" applyBorder="1" applyAlignment="1">
      <alignment horizontal="center" vertical="center"/>
    </xf>
    <xf numFmtId="0" fontId="29" fillId="17" borderId="44" xfId="9" applyFont="1" applyFill="1" applyBorder="1" applyAlignment="1">
      <alignment horizontal="center" vertical="center"/>
    </xf>
    <xf numFmtId="0" fontId="29" fillId="17" borderId="36" xfId="9" applyFont="1" applyFill="1" applyBorder="1" applyAlignment="1">
      <alignment horizontal="center" vertical="center"/>
    </xf>
    <xf numFmtId="0" fontId="29" fillId="17" borderId="19" xfId="9" applyFont="1" applyFill="1" applyBorder="1" applyAlignment="1">
      <alignment horizontal="center" vertical="center"/>
    </xf>
    <xf numFmtId="0" fontId="29" fillId="17" borderId="0" xfId="9" applyFont="1" applyFill="1" applyAlignment="1">
      <alignment horizontal="center" vertical="center"/>
    </xf>
    <xf numFmtId="0" fontId="29" fillId="17" borderId="20" xfId="9" applyFont="1" applyFill="1" applyBorder="1" applyAlignment="1">
      <alignment horizontal="center" vertical="center"/>
    </xf>
    <xf numFmtId="0" fontId="30" fillId="18" borderId="12" xfId="9" applyFont="1" applyFill="1" applyBorder="1" applyAlignment="1">
      <alignment horizontal="center"/>
    </xf>
    <xf numFmtId="0" fontId="30" fillId="18" borderId="45" xfId="9" applyFont="1" applyFill="1" applyBorder="1" applyAlignment="1">
      <alignment horizontal="center"/>
    </xf>
    <xf numFmtId="0" fontId="30" fillId="18" borderId="11" xfId="9" applyFont="1" applyFill="1" applyBorder="1" applyAlignment="1">
      <alignment horizontal="center"/>
    </xf>
    <xf numFmtId="0" fontId="36" fillId="18" borderId="1" xfId="9" applyFont="1" applyFill="1" applyBorder="1" applyAlignment="1">
      <alignment horizontal="center" vertical="center"/>
    </xf>
    <xf numFmtId="0" fontId="36" fillId="18" borderId="2" xfId="9" applyFont="1" applyFill="1" applyBorder="1" applyAlignment="1">
      <alignment horizontal="center" vertical="center"/>
    </xf>
    <xf numFmtId="0" fontId="36" fillId="18" borderId="47" xfId="9" applyFont="1" applyFill="1" applyBorder="1" applyAlignment="1">
      <alignment horizontal="center" vertical="center"/>
    </xf>
    <xf numFmtId="0" fontId="36" fillId="18" borderId="3" xfId="9" applyFont="1" applyFill="1" applyBorder="1" applyAlignment="1">
      <alignment horizontal="center" vertical="center"/>
    </xf>
    <xf numFmtId="0" fontId="36" fillId="18" borderId="35" xfId="9" applyFont="1" applyFill="1" applyBorder="1" applyAlignment="1">
      <alignment horizontal="center" vertical="center"/>
    </xf>
    <xf numFmtId="0" fontId="36" fillId="18" borderId="31" xfId="9" applyFont="1" applyFill="1" applyBorder="1" applyAlignment="1">
      <alignment horizontal="center" vertical="center"/>
    </xf>
    <xf numFmtId="0" fontId="36" fillId="18" borderId="32" xfId="9" applyFont="1" applyFill="1" applyBorder="1" applyAlignment="1">
      <alignment horizontal="center" vertical="center"/>
    </xf>
    <xf numFmtId="0" fontId="36" fillId="18" borderId="33" xfId="9" applyFont="1" applyFill="1" applyBorder="1" applyAlignment="1">
      <alignment horizontal="center" vertical="center"/>
    </xf>
    <xf numFmtId="0" fontId="36" fillId="18" borderId="15" xfId="9" applyFont="1" applyFill="1" applyBorder="1" applyAlignment="1">
      <alignment horizontal="center" vertical="center"/>
    </xf>
    <xf numFmtId="0" fontId="36" fillId="18" borderId="8" xfId="9" applyFont="1" applyFill="1" applyBorder="1" applyAlignment="1">
      <alignment horizontal="center" vertical="center"/>
    </xf>
    <xf numFmtId="0" fontId="36" fillId="18" borderId="16" xfId="9" applyFont="1" applyFill="1" applyBorder="1" applyAlignment="1">
      <alignment horizontal="center" vertical="center"/>
    </xf>
    <xf numFmtId="0" fontId="40" fillId="20" borderId="31" xfId="9" applyFont="1" applyFill="1" applyBorder="1" applyAlignment="1">
      <alignment horizontal="center"/>
    </xf>
    <xf numFmtId="0" fontId="40" fillId="20" borderId="42" xfId="9" applyFont="1" applyFill="1" applyBorder="1" applyAlignment="1">
      <alignment horizontal="center"/>
    </xf>
    <xf numFmtId="0" fontId="40" fillId="20" borderId="22" xfId="9" applyFont="1" applyFill="1" applyBorder="1" applyAlignment="1">
      <alignment horizontal="center"/>
    </xf>
    <xf numFmtId="0" fontId="40" fillId="20" borderId="48" xfId="9" applyFont="1" applyFill="1" applyBorder="1" applyAlignment="1">
      <alignment horizontal="center"/>
    </xf>
    <xf numFmtId="0" fontId="43" fillId="20" borderId="75" xfId="9" applyFont="1" applyFill="1" applyBorder="1" applyAlignment="1">
      <alignment horizontal="center" vertical="center"/>
    </xf>
    <xf numFmtId="0" fontId="43" fillId="20" borderId="74" xfId="9" applyFont="1" applyFill="1" applyBorder="1" applyAlignment="1">
      <alignment horizontal="center" vertical="center"/>
    </xf>
    <xf numFmtId="0" fontId="40" fillId="20" borderId="26" xfId="9" applyFont="1" applyFill="1" applyBorder="1" applyAlignment="1">
      <alignment horizontal="center"/>
    </xf>
    <xf numFmtId="0" fontId="40" fillId="20" borderId="74" xfId="9" applyFont="1" applyFill="1" applyBorder="1" applyAlignment="1">
      <alignment horizontal="center"/>
    </xf>
    <xf numFmtId="0" fontId="5" fillId="4" borderId="4" xfId="0" applyFont="1" applyFill="1" applyBorder="1" applyAlignment="1">
      <alignment horizontal="center" vertical="center"/>
    </xf>
    <xf numFmtId="0" fontId="6" fillId="5" borderId="5" xfId="0" applyFont="1" applyFill="1" applyBorder="1" applyAlignment="1">
      <alignment horizontal="center"/>
    </xf>
    <xf numFmtId="0" fontId="13" fillId="0" borderId="5" xfId="0" applyFont="1" applyBorder="1" applyAlignment="1">
      <alignment horizontal="center" vertical="center" wrapText="1"/>
    </xf>
    <xf numFmtId="0" fontId="3" fillId="0" borderId="25" xfId="0" applyFont="1" applyBorder="1" applyAlignment="1">
      <alignment horizontal="center" vertical="center"/>
    </xf>
    <xf numFmtId="0" fontId="15" fillId="7" borderId="26" xfId="0" applyFont="1" applyFill="1" applyBorder="1" applyAlignment="1">
      <alignment horizontal="center"/>
    </xf>
    <xf numFmtId="0" fontId="15" fillId="7" borderId="29" xfId="0" applyFont="1" applyFill="1" applyBorder="1" applyAlignment="1">
      <alignment horizontal="center"/>
    </xf>
    <xf numFmtId="0" fontId="11" fillId="8" borderId="5" xfId="0" applyFont="1" applyFill="1" applyBorder="1" applyAlignment="1">
      <alignment horizontal="center" vertical="center" wrapText="1"/>
    </xf>
    <xf numFmtId="0" fontId="11" fillId="8" borderId="30" xfId="0" applyFont="1" applyFill="1" applyBorder="1" applyAlignment="1">
      <alignment horizontal="center" vertical="center" wrapText="1"/>
    </xf>
    <xf numFmtId="0" fontId="20" fillId="10" borderId="8" xfId="0" applyFont="1" applyFill="1" applyBorder="1" applyAlignment="1">
      <alignment horizontal="center" vertical="center"/>
    </xf>
    <xf numFmtId="0" fontId="20" fillId="10" borderId="32" xfId="0" applyFont="1" applyFill="1" applyBorder="1" applyAlignment="1">
      <alignment horizontal="center" vertical="center"/>
    </xf>
    <xf numFmtId="0" fontId="21" fillId="11" borderId="26" xfId="0" applyFont="1" applyFill="1" applyBorder="1" applyAlignment="1">
      <alignment horizontal="center" vertical="center"/>
    </xf>
    <xf numFmtId="0" fontId="6" fillId="5" borderId="30" xfId="0" applyFont="1" applyFill="1" applyBorder="1" applyAlignment="1">
      <alignment horizontal="center"/>
    </xf>
    <xf numFmtId="0" fontId="21" fillId="12" borderId="31" xfId="0" applyFont="1" applyFill="1" applyBorder="1" applyAlignment="1">
      <alignment horizontal="center" vertical="center"/>
    </xf>
    <xf numFmtId="0" fontId="6" fillId="5" borderId="8" xfId="0" applyFont="1" applyFill="1" applyBorder="1" applyAlignment="1">
      <alignment horizontal="center"/>
    </xf>
    <xf numFmtId="0" fontId="3" fillId="9" borderId="0" xfId="0" applyFont="1" applyFill="1" applyBorder="1" applyAlignment="1">
      <alignment horizontal="center" vertical="center"/>
    </xf>
    <xf numFmtId="2" fontId="3" fillId="6" borderId="0" xfId="0" applyNumberFormat="1" applyFont="1" applyFill="1" applyBorder="1" applyAlignment="1">
      <alignment horizontal="center" vertical="center"/>
    </xf>
    <xf numFmtId="2" fontId="3" fillId="9" borderId="0" xfId="0" applyNumberFormat="1" applyFont="1" applyFill="1" applyBorder="1" applyAlignment="1">
      <alignment horizontal="center" vertical="center"/>
    </xf>
  </cellXfs>
  <cellStyles count="10">
    <cellStyle name="Comma 2" xfId="1" xr:uid="{00000000-0005-0000-0000-000006000000}"/>
    <cellStyle name="Normal" xfId="0" builtinId="0"/>
    <cellStyle name="Normal 2" xfId="2" xr:uid="{00000000-0005-0000-0000-000007000000}"/>
    <cellStyle name="Normal 3" xfId="3" xr:uid="{00000000-0005-0000-0000-000008000000}"/>
    <cellStyle name="Normal 4" xfId="9" xr:uid="{2BD69690-3B18-40DA-A673-5AC89B5F6D4E}"/>
    <cellStyle name="Percent 2" xfId="4" xr:uid="{00000000-0005-0000-0000-00000B000000}"/>
    <cellStyle name="Pivot Table Category" xfId="5" xr:uid="{00000000-0005-0000-0000-00000C000000}"/>
    <cellStyle name="Pivot Table Corner" xfId="6" xr:uid="{00000000-0005-0000-0000-00000D000000}"/>
    <cellStyle name="Pivot Table Field" xfId="7" xr:uid="{00000000-0005-0000-0000-00000E000000}"/>
    <cellStyle name="Pivot Table Value" xfId="8" xr:uid="{00000000-0005-0000-0000-00000F000000}"/>
  </cellStyles>
  <dxfs count="3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31FFFA"/>
      <rgbColor rgb="FF9C0006"/>
      <rgbColor rgb="FF006100"/>
      <rgbColor rgb="FF000080"/>
      <rgbColor rgb="FF808000"/>
      <rgbColor rgb="FF800080"/>
      <rgbColor rgb="FF0B76A0"/>
      <rgbColor rgb="FFBFBFBF"/>
      <rgbColor rgb="FF8B8B8B"/>
      <rgbColor rgb="FF83CBEB"/>
      <rgbColor rgb="FF993366"/>
      <rgbColor rgb="FFFDEADA"/>
      <rgbColor rgb="FFDCEAF7"/>
      <rgbColor rgb="FF660066"/>
      <rgbColor rgb="FFFF8080"/>
      <rgbColor rgb="FF0066CC"/>
      <rgbColor rgb="FFD1D1D1"/>
      <rgbColor rgb="FF000080"/>
      <rgbColor rgb="FFFF00FF"/>
      <rgbColor rgb="FFFFFF00"/>
      <rgbColor rgb="FF00FFFF"/>
      <rgbColor rgb="FF800080"/>
      <rgbColor rgb="FF800000"/>
      <rgbColor rgb="FF156082"/>
      <rgbColor rgb="FF0000FF"/>
      <rgbColor rgb="FF00CCFF"/>
      <rgbColor rgb="FFD9D9D9"/>
      <rgbColor rgb="FFC6EFCE"/>
      <rgbColor rgb="FFFBE3D6"/>
      <rgbColor rgb="FF96DCF8"/>
      <rgbColor rgb="FFF2AA84"/>
      <rgbColor rgb="FFEC79FF"/>
      <rgbColor rgb="FFFFC7CE"/>
      <rgbColor rgb="FF3366FF"/>
      <rgbColor rgb="FF33CCCC"/>
      <rgbColor rgb="FF8ED973"/>
      <rgbColor rgb="FFFFCC00"/>
      <rgbColor rgb="FFFF9831"/>
      <rgbColor rgb="FFE97132"/>
      <rgbColor rgb="FF595959"/>
      <rgbColor rgb="FF969696"/>
      <rgbColor rgb="FF003366"/>
      <rgbColor rgb="FF196B24"/>
      <rgbColor rgb="FF003300"/>
      <rgbColor rgb="FF333300"/>
      <rgbColor rgb="FFC04F15"/>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- 05_28_2024</a:t>
            </a:r>
          </a:p>
        </c:rich>
      </c:tx>
      <c:overlay val="0"/>
      <c:spPr>
        <a:noFill/>
        <a:ln w="0">
          <a:noFill/>
        </a:ln>
      </c:spPr>
    </c:title>
    <c:autoTitleDeleted val="0"/>
    <c:plotArea>
      <c:layout>
        <c:manualLayout>
          <c:layoutTarget val="inner"/>
          <c:xMode val="edge"/>
          <c:yMode val="edge"/>
          <c:x val="7.9725182842060704E-2"/>
          <c:y val="0.11848066589400499"/>
          <c:w val="0.835835029113695"/>
          <c:h val="0.72131492993362101"/>
        </c:manualLayout>
      </c:layout>
      <c:scatterChart>
        <c:scatterStyle val="lineMarker"/>
        <c:varyColors val="0"/>
        <c:ser>
          <c:idx val="0"/>
          <c:order val="0"/>
          <c:tx>
            <c:strRef>
              <c:f>'05_28_2020'!$K$50:$K$50</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'05_28_2020'!$K$51:$K$56</c:f>
              <c:numCache>
                <c:formatCode>0.00</c:formatCode>
                <c:ptCount val="6"/>
                <c:pt idx="0">
                  <c:v>1.1900000000000022</c:v>
                </c:pt>
                <c:pt idx="1">
                  <c:v>1.1450000000000071</c:v>
                </c:pt>
                <c:pt idx="2">
                  <c:v>0.98499999999999144</c:v>
                </c:pt>
                <c:pt idx="3">
                  <c:v>0.70500000000001117</c:v>
                </c:pt>
                <c:pt idx="4">
                  <c:v>0.80999999999999961</c:v>
                </c:pt>
                <c:pt idx="5">
                  <c:v>0.4249999999999976</c:v>
                </c:pt>
              </c:numCache>
            </c:numRef>
          </c:yVal>
          <c:smooth val="0"/>
          <c:extLst>
            <c:ext xmlns:c16="http://schemas.microsoft.com/office/drawing/2014/chart" uri="{C3380CC4-5D6E-409C-BE32-E72D297353CC}">
              <c16:uniqueId val="{00000000-80F1-4B99-9E46-B40A84B6F090}"/>
            </c:ext>
          </c:extLst>
        </c:ser>
        <c:dLbls>
          <c:showLegendKey val="0"/>
          <c:showVal val="0"/>
          <c:showCatName val="0"/>
          <c:showSerName val="0"/>
          <c:showPercent val="0"/>
          <c:showBubbleSize val="0"/>
        </c:dLbls>
        <c:axId val="78684606"/>
        <c:axId val="29710119"/>
      </c:scatterChart>
      <c:scatterChart>
        <c:scatterStyle val="lineMarker"/>
        <c:varyColors val="0"/>
        <c:ser>
          <c:idx val="1"/>
          <c:order val="1"/>
          <c:tx>
            <c:strRef>
              <c:f>'05_28_2020'!$J$61:$J$61</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'05_28_2020'!$J$62:$J$67</c:f>
              <c:numCache>
                <c:formatCode>0.00</c:formatCode>
                <c:ptCount val="6"/>
                <c:pt idx="0">
                  <c:v>29.598898678557379</c:v>
                </c:pt>
                <c:pt idx="1">
                  <c:v>28.355577540132838</c:v>
                </c:pt>
                <c:pt idx="2">
                  <c:v>28.688697895766396</c:v>
                </c:pt>
                <c:pt idx="3">
                  <c:v>29.747240591983005</c:v>
                </c:pt>
                <c:pt idx="4">
                  <c:v>26.087428899711739</c:v>
                </c:pt>
                <c:pt idx="5">
                  <c:v>29.540313345138038</c:v>
                </c:pt>
              </c:numCache>
            </c:numRef>
          </c:yVal>
          <c:smooth val="0"/>
          <c:extLst>
            <c:ext xmlns:c16="http://schemas.microsoft.com/office/drawing/2014/chart" uri="{C3380CC4-5D6E-409C-BE32-E72D297353CC}">
              <c16:uniqueId val="{00000001-80F1-4B99-9E46-B40A84B6F090}"/>
            </c:ext>
          </c:extLst>
        </c:ser>
        <c:ser>
          <c:idx val="2"/>
          <c:order val="2"/>
          <c:tx>
            <c:strRef>
              <c:f>'05_28_2020'!$B$41:$B$41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'05_28_2020'!$I$33:$I$38</c:f>
              <c:numCache>
                <c:formatCode>0.00</c:formatCode>
                <c:ptCount val="6"/>
                <c:pt idx="0">
                  <c:v>17.01308560441484</c:v>
                </c:pt>
                <c:pt idx="1">
                  <c:v>18.736554961438362</c:v>
                </c:pt>
                <c:pt idx="2">
                  <c:v>21.415013228658076</c:v>
                </c:pt>
                <c:pt idx="3">
                  <c:v>23.899659713224764</c:v>
                </c:pt>
                <c:pt idx="4">
                  <c:v>26.603128665134808</c:v>
                </c:pt>
                <c:pt idx="5">
                  <c:v>29.139709765458161</c:v>
                </c:pt>
              </c:numCache>
            </c:numRef>
          </c:xVal>
          <c:yVal>
            <c:numRef>
              <c:f>'05_28_2020'!$B$42:$B$47</c:f>
              <c:numCache>
                <c:formatCode>0.00</c:formatCode>
                <c:ptCount val="6"/>
                <c:pt idx="0">
                  <c:v>121.6</c:v>
                </c:pt>
                <c:pt idx="1">
                  <c:v>114.43333333333334</c:v>
                </c:pt>
                <c:pt idx="2">
                  <c:v>55.6</c:v>
                </c:pt>
                <c:pt idx="3">
                  <c:v>49.2</c:v>
                </c:pt>
                <c:pt idx="4">
                  <c:v>40.549999999999997</c:v>
                </c:pt>
                <c:pt idx="5">
                  <c:v>39.833333333333336</c:v>
                </c:pt>
              </c:numCache>
            </c:numRef>
          </c:yVal>
          <c:smooth val="0"/>
          <c:extLst>
            <c:ext xmlns:c16="http://schemas.microsoft.com/office/drawing/2014/chart" uri="{C3380CC4-5D6E-409C-BE32-E72D297353CC}">
              <c16:uniqueId val="{00000002-80F1-4B99-9E46-B40A84B6F090}"/>
            </c:ext>
          </c:extLst>
        </c:ser>
        <c:dLbls>
          <c:showLegendKey val="0"/>
          <c:showVal val="0"/>
          <c:showCatName val="0"/>
          <c:showSerName val="0"/>
          <c:showPercent val="0"/>
          <c:showBubbleSize val="0"/>
        </c:dLbls>
        <c:axId val="75485992"/>
        <c:axId val="36738082"/>
      </c:scatterChart>
      <c:valAx>
        <c:axId val="78684606"/>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29710119"/>
        <c:crosses val="autoZero"/>
        <c:crossBetween val="midCat"/>
      </c:valAx>
      <c:valAx>
        <c:axId val="29710119"/>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8684606"/>
        <c:crosses val="autoZero"/>
        <c:crossBetween val="midCat"/>
      </c:valAx>
      <c:valAx>
        <c:axId val="75485992"/>
        <c:scaling>
          <c:orientation val="minMax"/>
        </c:scaling>
        <c:delete val="1"/>
        <c:axPos val="b"/>
        <c:numFmt formatCode="0.00" sourceLinked="1"/>
        <c:majorTickMark val="out"/>
        <c:minorTickMark val="none"/>
        <c:tickLblPos val="nextTo"/>
        <c:crossAx val="36738082"/>
        <c:crosses val="autoZero"/>
        <c:crossBetween val="midCat"/>
      </c:valAx>
      <c:valAx>
        <c:axId val="36738082"/>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75485992"/>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'05_28_2020'!$H$108:$H$111</c:f>
              <c:numCache>
                <c:formatCode>General</c:formatCode>
                <c:ptCount val="4"/>
              </c:numCache>
            </c:numRef>
          </c:val>
          <c:extLst>
            <c:ext xmlns:c16="http://schemas.microsoft.com/office/drawing/2014/chart" uri="{C3380CC4-5D6E-409C-BE32-E72D297353CC}">
              <c16:uniqueId val="{00000000-025C-4F20-874F-9C41E082272F}"/>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'05_28_2020'!$K$108:$K$111</c:f>
              <c:numCache>
                <c:formatCode>General</c:formatCode>
                <c:ptCount val="4"/>
              </c:numCache>
            </c:numRef>
          </c:val>
          <c:extLst>
            <c:ext xmlns:c16="http://schemas.microsoft.com/office/drawing/2014/chart" uri="{C3380CC4-5D6E-409C-BE32-E72D297353CC}">
              <c16:uniqueId val="{00000001-025C-4F20-874F-9C41E082272F}"/>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'05_28_2020'!$B$108:$B$111</c:f>
              <c:numCache>
                <c:formatCode>General</c:formatCode>
                <c:ptCount val="4"/>
              </c:numCache>
            </c:numRef>
          </c:cat>
          <c:val>
            <c:numRef>
              <c:f>'05_28_2020'!$E$108:$E$111</c:f>
              <c:numCache>
                <c:formatCode>General</c:formatCode>
                <c:ptCount val="4"/>
              </c:numCache>
            </c:numRef>
          </c:val>
          <c:extLst>
            <c:ext xmlns:c16="http://schemas.microsoft.com/office/drawing/2014/chart" uri="{C3380CC4-5D6E-409C-BE32-E72D297353CC}">
              <c16:uniqueId val="{00000002-025C-4F20-874F-9C41E082272F}"/>
            </c:ext>
          </c:extLst>
        </c:ser>
        <c:dLbls>
          <c:showLegendKey val="0"/>
          <c:showVal val="0"/>
          <c:showCatName val="0"/>
          <c:showSerName val="0"/>
          <c:showPercent val="0"/>
          <c:showBubbleSize val="0"/>
        </c:dLbls>
        <c:gapWidth val="150"/>
        <c:axId val="76131042"/>
        <c:axId val="20938087"/>
      </c:barChart>
      <c:catAx>
        <c:axId val="7613104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20938087"/>
        <c:crosses val="autoZero"/>
        <c:auto val="1"/>
        <c:lblAlgn val="ctr"/>
        <c:lblOffset val="100"/>
        <c:noMultiLvlLbl val="0"/>
      </c:catAx>
      <c:valAx>
        <c:axId val="20938087"/>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76131042"/>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Bench Scale DW - 05_21_2024</a:t>
            </a:r>
          </a:p>
        </c:rich>
      </c:tx>
      <c:overlay val="0"/>
      <c:spPr>
        <a:noFill/>
        <a:ln w="0">
          <a:noFill/>
        </a:ln>
      </c:spPr>
    </c:title>
    <c:autoTitleDeleted val="0"/>
    <c:plotArea>
      <c:layout>
        <c:manualLayout>
          <c:layoutTarget val="inner"/>
          <c:xMode val="edge"/>
          <c:yMode val="edge"/>
          <c:x val="7.9718465594964705E-2"/>
          <c:y val="0.118476430976431"/>
          <c:w val="0.835821212894446"/>
          <c:h val="0.72132786195286203"/>
        </c:manualLayout>
      </c:layout>
      <c:scatterChart>
        <c:scatterStyle val="lineMarker"/>
        <c:varyColors val="0"/>
        <c:ser>
          <c:idx val="0"/>
          <c:order val="0"/>
          <c:tx>
            <c:strRef>
              <c:f>'05_21_2020'!$K$51:$K$51</c:f>
              <c:strCache>
                <c:ptCount val="1"/>
                <c:pt idx="0">
                  <c:v>TSS (g TSS/L)</c:v>
                </c:pt>
              </c:strCache>
            </c:strRef>
          </c:tx>
          <c:spPr>
            <a:ln w="28440" cap="rnd">
              <a:solidFill>
                <a:srgbClr val="0B76A0"/>
              </a:solidFill>
              <a:round/>
            </a:ln>
          </c:spPr>
          <c:marker>
            <c:symbol val="circle"/>
            <c:size val="5"/>
            <c:spPr>
              <a:solidFill>
                <a:srgbClr val="0B76A0"/>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'05_21_2020'!$K$52:$K$57</c:f>
              <c:numCache>
                <c:formatCode>0.00</c:formatCode>
                <c:ptCount val="6"/>
                <c:pt idx="0">
                  <c:v>1.0400000000000076</c:v>
                </c:pt>
                <c:pt idx="1">
                  <c:v>0.83499999999999686</c:v>
                </c:pt>
                <c:pt idx="2">
                  <c:v>0.75999999999999401</c:v>
                </c:pt>
                <c:pt idx="3">
                  <c:v>0.39500000000000091</c:v>
                </c:pt>
                <c:pt idx="4">
                  <c:v>0.33499999999999641</c:v>
                </c:pt>
                <c:pt idx="5">
                  <c:v>0.38500000000000201</c:v>
                </c:pt>
              </c:numCache>
            </c:numRef>
          </c:yVal>
          <c:smooth val="0"/>
          <c:extLst>
            <c:ext xmlns:c16="http://schemas.microsoft.com/office/drawing/2014/chart" uri="{C3380CC4-5D6E-409C-BE32-E72D297353CC}">
              <c16:uniqueId val="{00000000-73D4-4E36-B224-83958BF03FF0}"/>
            </c:ext>
          </c:extLst>
        </c:ser>
        <c:dLbls>
          <c:showLegendKey val="0"/>
          <c:showVal val="0"/>
          <c:showCatName val="0"/>
          <c:showSerName val="0"/>
          <c:showPercent val="0"/>
          <c:showBubbleSize val="0"/>
        </c:dLbls>
        <c:axId val="57714369"/>
        <c:axId val="82017123"/>
      </c:scatterChart>
      <c:scatterChart>
        <c:scatterStyle val="lineMarker"/>
        <c:varyColors val="0"/>
        <c:ser>
          <c:idx val="1"/>
          <c:order val="1"/>
          <c:tx>
            <c:strRef>
              <c:f>'05_21_2020'!$J$62:$J$62</c:f>
              <c:strCache>
                <c:ptCount val="1"/>
                <c:pt idx="0">
                  <c:v>TS (%)</c:v>
                </c:pt>
              </c:strCache>
            </c:strRef>
          </c:tx>
          <c:spPr>
            <a:ln w="28440" cap="rnd">
              <a:solidFill>
                <a:srgbClr val="E97132"/>
              </a:solidFill>
              <a:round/>
            </a:ln>
          </c:spPr>
          <c:marker>
            <c:symbol val="circle"/>
            <c:size val="5"/>
            <c:spPr>
              <a:solidFill>
                <a:srgbClr val="E97132"/>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'05_21_2020'!$J$63:$J$68</c:f>
              <c:numCache>
                <c:formatCode>0.00</c:formatCode>
                <c:ptCount val="6"/>
                <c:pt idx="0">
                  <c:v>30.044321031900687</c:v>
                </c:pt>
                <c:pt idx="1">
                  <c:v>32.889427083420557</c:v>
                </c:pt>
                <c:pt idx="2">
                  <c:v>30.413500298124472</c:v>
                </c:pt>
                <c:pt idx="3">
                  <c:v>30.476847357057935</c:v>
                </c:pt>
                <c:pt idx="4">
                  <c:v>29.734925689014489</c:v>
                </c:pt>
                <c:pt idx="5">
                  <c:v>29.920060485784063</c:v>
                </c:pt>
              </c:numCache>
            </c:numRef>
          </c:yVal>
          <c:smooth val="0"/>
          <c:extLst>
            <c:ext xmlns:c16="http://schemas.microsoft.com/office/drawing/2014/chart" uri="{C3380CC4-5D6E-409C-BE32-E72D297353CC}">
              <c16:uniqueId val="{00000001-73D4-4E36-B224-83958BF03FF0}"/>
            </c:ext>
          </c:extLst>
        </c:ser>
        <c:ser>
          <c:idx val="2"/>
          <c:order val="2"/>
          <c:tx>
            <c:strRef>
              <c:f>'05_21_2020'!$B$41:$B$41</c:f>
              <c:strCache>
                <c:ptCount val="1"/>
                <c:pt idx="0">
                  <c:v>CST  Sludge (Avrg)</c:v>
                </c:pt>
              </c:strCache>
            </c:strRef>
          </c:tx>
          <c:spPr>
            <a:ln w="19080" cap="rnd">
              <a:solidFill>
                <a:srgbClr val="196B24"/>
              </a:solidFill>
              <a:round/>
            </a:ln>
          </c:spPr>
          <c:marker>
            <c:symbol val="circle"/>
            <c:size val="5"/>
            <c:spPr>
              <a:solidFill>
                <a:srgbClr val="196B24"/>
              </a:solidFill>
            </c:spPr>
          </c:marker>
          <c:dLbls>
            <c:spPr>
              <a:noFill/>
              <a:ln>
                <a:noFill/>
              </a:ln>
              <a:effectLst/>
            </c:spPr>
            <c:txPr>
              <a:bodyPr wrap="square"/>
              <a:lstStyle/>
              <a:p>
                <a:pPr>
                  <a:defRPr sz="1000" b="0" strike="noStrike" spc="-1">
                    <a:solidFill>
                      <a:srgbClr val="000000"/>
                    </a:solidFill>
                    <a:latin typeface="Aptos Narrow"/>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'05_21_2020'!$I$33:$I$38</c:f>
              <c:numCache>
                <c:formatCode>0.00</c:formatCode>
                <c:ptCount val="6"/>
                <c:pt idx="0">
                  <c:v>20.007722912874286</c:v>
                </c:pt>
                <c:pt idx="1">
                  <c:v>23.620471108633257</c:v>
                </c:pt>
                <c:pt idx="2">
                  <c:v>27.258618248517067</c:v>
                </c:pt>
                <c:pt idx="3">
                  <c:v>29.38051419007007</c:v>
                </c:pt>
                <c:pt idx="4">
                  <c:v>32.741633515543377</c:v>
                </c:pt>
                <c:pt idx="5">
                  <c:v>34.901150296083991</c:v>
                </c:pt>
              </c:numCache>
            </c:numRef>
          </c:xVal>
          <c:yVal>
            <c:numRef>
              <c:f>'05_21_2020'!$B$42:$B$47</c:f>
              <c:numCache>
                <c:formatCode>0.00</c:formatCode>
                <c:ptCount val="6"/>
                <c:pt idx="0">
                  <c:v>73.233333333333334</c:v>
                </c:pt>
                <c:pt idx="1">
                  <c:v>48</c:v>
                </c:pt>
                <c:pt idx="2">
                  <c:v>46.833333333333336</c:v>
                </c:pt>
                <c:pt idx="3">
                  <c:v>37.733333333333334</c:v>
                </c:pt>
                <c:pt idx="4">
                  <c:v>28.233333333333334</c:v>
                </c:pt>
                <c:pt idx="5">
                  <c:v>28.599999999999998</c:v>
                </c:pt>
              </c:numCache>
            </c:numRef>
          </c:yVal>
          <c:smooth val="0"/>
          <c:extLst>
            <c:ext xmlns:c16="http://schemas.microsoft.com/office/drawing/2014/chart" uri="{C3380CC4-5D6E-409C-BE32-E72D297353CC}">
              <c16:uniqueId val="{00000002-73D4-4E36-B224-83958BF03FF0}"/>
            </c:ext>
          </c:extLst>
        </c:ser>
        <c:dLbls>
          <c:showLegendKey val="0"/>
          <c:showVal val="0"/>
          <c:showCatName val="0"/>
          <c:showSerName val="0"/>
          <c:showPercent val="0"/>
          <c:showBubbleSize val="0"/>
        </c:dLbls>
        <c:axId val="5160931"/>
        <c:axId val="27187249"/>
      </c:scatterChart>
      <c:valAx>
        <c:axId val="57714369"/>
        <c:scaling>
          <c:orientation val="minMax"/>
          <c:min val="16"/>
        </c:scaling>
        <c:delete val="0"/>
        <c:axPos val="b"/>
        <c:title>
          <c:tx>
            <c:rich>
              <a:bodyPr rot="0"/>
              <a:lstStyle/>
              <a:p>
                <a:pPr>
                  <a:defRPr lang="en-US" sz="1800" b="1" strike="noStrike" spc="-1">
                    <a:solidFill>
                      <a:srgbClr val="000000"/>
                    </a:solidFill>
                    <a:latin typeface="Aptos Narrow"/>
                  </a:defRPr>
                </a:pPr>
                <a:r>
                  <a:rPr lang="en-US" sz="1800" b="1" strike="noStrike" spc="-1">
                    <a:solidFill>
                      <a:srgbClr val="000000"/>
                    </a:solidFill>
                    <a:latin typeface="Aptos Narrow"/>
                  </a:rPr>
                  <a:t>Actual Polymer Added (lb/ton)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82017123"/>
        <c:crosses val="autoZero"/>
        <c:crossBetween val="midCat"/>
      </c:valAx>
      <c:valAx>
        <c:axId val="82017123"/>
        <c:scaling>
          <c:orientation val="minMax"/>
        </c:scaling>
        <c:delete val="0"/>
        <c:axPos val="l"/>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TSS (g TSS/L)</a:t>
                </a:r>
              </a:p>
            </c:rich>
          </c:tx>
          <c:overlay val="0"/>
          <c:spPr>
            <a:noFill/>
            <a:ln w="0">
              <a:noFill/>
            </a:ln>
          </c:spPr>
        </c:title>
        <c:numFmt formatCode="0.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7714369"/>
        <c:crosses val="autoZero"/>
        <c:crossBetween val="midCat"/>
      </c:valAx>
      <c:valAx>
        <c:axId val="5160931"/>
        <c:scaling>
          <c:orientation val="minMax"/>
        </c:scaling>
        <c:delete val="1"/>
        <c:axPos val="b"/>
        <c:numFmt formatCode="0.00" sourceLinked="1"/>
        <c:majorTickMark val="out"/>
        <c:minorTickMark val="none"/>
        <c:tickLblPos val="nextTo"/>
        <c:crossAx val="27187249"/>
        <c:crosses val="autoZero"/>
        <c:crossBetween val="midCat"/>
      </c:valAx>
      <c:valAx>
        <c:axId val="27187249"/>
        <c:scaling>
          <c:orientation val="minMax"/>
          <c:min val="16"/>
        </c:scaling>
        <c:delete val="0"/>
        <c:axPos val="r"/>
        <c:title>
          <c:tx>
            <c:rich>
              <a:bodyPr rot="-5400000"/>
              <a:lstStyle/>
              <a:p>
                <a:pPr>
                  <a:defRPr lang="en-US" sz="1800" b="1" strike="noStrike" spc="-1">
                    <a:solidFill>
                      <a:srgbClr val="000000"/>
                    </a:solidFill>
                    <a:latin typeface="Aptos Narrow"/>
                  </a:defRPr>
                </a:pPr>
                <a:r>
                  <a:rPr lang="en-US" sz="1800" b="1" strike="noStrike" spc="-1">
                    <a:solidFill>
                      <a:srgbClr val="000000"/>
                    </a:solidFill>
                    <a:latin typeface="Aptos Narrow"/>
                  </a:rPr>
                  <a:t>CST (s) &amp; Cake TS n(%)</a:t>
                </a:r>
              </a:p>
            </c:rich>
          </c:tx>
          <c:overlay val="0"/>
          <c:spPr>
            <a:noFill/>
            <a:ln w="0">
              <a:noFill/>
            </a:ln>
          </c:spPr>
        </c:title>
        <c:numFmt formatCode="0" sourceLinked="0"/>
        <c:majorTickMark val="cross"/>
        <c:minorTickMark val="none"/>
        <c:tickLblPos val="nextTo"/>
        <c:spPr>
          <a:ln w="9360">
            <a:solidFill>
              <a:srgbClr val="BFBFBF"/>
            </a:solidFill>
            <a:round/>
          </a:ln>
        </c:spPr>
        <c:txPr>
          <a:bodyPr/>
          <a:lstStyle/>
          <a:p>
            <a:pPr>
              <a:defRPr sz="1600" b="1" strike="noStrike" spc="-1">
                <a:solidFill>
                  <a:srgbClr val="000000"/>
                </a:solidFill>
                <a:latin typeface="Aptos Narrow"/>
              </a:defRPr>
            </a:pPr>
            <a:endParaRPr lang="en-US"/>
          </a:p>
        </c:txPr>
        <c:crossAx val="5160931"/>
        <c:crosses val="max"/>
        <c:crossBetween val="midCat"/>
      </c:valAx>
      <c:spPr>
        <a:noFill/>
        <a:ln w="0">
          <a:noFill/>
        </a:ln>
      </c:spPr>
    </c:plotArea>
    <c:legend>
      <c:legendPos val="b"/>
      <c:layout>
        <c:manualLayout>
          <c:xMode val="edge"/>
          <c:yMode val="edge"/>
          <c:x val="0.30515875809997101"/>
          <c:y val="0.95021119709812496"/>
          <c:w val="0.34972996804746997"/>
          <c:h val="4.9788802901874603E-2"/>
        </c:manualLayout>
      </c:layout>
      <c:overlay val="0"/>
      <c:spPr>
        <a:noFill/>
        <a:ln w="0">
          <a:noFill/>
        </a:ln>
      </c:spPr>
      <c:txPr>
        <a:bodyPr/>
        <a:lstStyle/>
        <a:p>
          <a:pPr>
            <a:defRPr sz="18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400" b="0" strike="noStrike" spc="-1">
                <a:solidFill>
                  <a:srgbClr val="000000"/>
                </a:solidFill>
                <a:latin typeface="Aptos Narrow"/>
              </a:defRPr>
            </a:pPr>
            <a:r>
              <a:rPr lang="en-US" sz="1400" b="0" strike="noStrike" spc="-1">
                <a:solidFill>
                  <a:srgbClr val="000000"/>
                </a:solidFill>
                <a:latin typeface="Aptos Narrow"/>
              </a:rPr>
              <a:t>last 4 weeks Data</a:t>
            </a:r>
          </a:p>
        </c:rich>
      </c:tx>
      <c:overlay val="0"/>
      <c:spPr>
        <a:noFill/>
        <a:ln w="0">
          <a:noFill/>
        </a:ln>
      </c:spPr>
    </c:title>
    <c:autoTitleDeleted val="0"/>
    <c:plotArea>
      <c:layout/>
      <c:barChart>
        <c:barDir val="col"/>
        <c:grouping val="clustered"/>
        <c:varyColors val="0"/>
        <c:ser>
          <c:idx val="0"/>
          <c:order val="0"/>
          <c:tx>
            <c:strRef>
              <c:f>'05_28_2020'!$H$2:$H$2</c:f>
              <c:strCache>
                <c:ptCount val="1"/>
              </c:strCache>
            </c:strRef>
          </c:tx>
          <c:spPr>
            <a:solidFill>
              <a:srgbClr val="15608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'05_28_2020'!$H$107:$H$110</c:f>
              <c:numCache>
                <c:formatCode>General</c:formatCode>
                <c:ptCount val="4"/>
              </c:numCache>
            </c:numRef>
          </c:val>
          <c:extLst>
            <c:ext xmlns:c16="http://schemas.microsoft.com/office/drawing/2014/chart" uri="{C3380CC4-5D6E-409C-BE32-E72D297353CC}">
              <c16:uniqueId val="{00000000-0242-4B32-8CFA-4060DE7AC352}"/>
            </c:ext>
          </c:extLst>
        </c:ser>
        <c:ser>
          <c:idx val="1"/>
          <c:order val="1"/>
          <c:tx>
            <c:strRef>
              <c:f>'05_28_2020'!$K$2:$K$2</c:f>
              <c:strCache>
                <c:ptCount val="1"/>
              </c:strCache>
            </c:strRef>
          </c:tx>
          <c:spPr>
            <a:solidFill>
              <a:srgbClr val="E97132"/>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'05_28_2020'!$K$107:$K$110</c:f>
              <c:numCache>
                <c:formatCode>General</c:formatCode>
                <c:ptCount val="4"/>
              </c:numCache>
            </c:numRef>
          </c:val>
          <c:extLst>
            <c:ext xmlns:c16="http://schemas.microsoft.com/office/drawing/2014/chart" uri="{C3380CC4-5D6E-409C-BE32-E72D297353CC}">
              <c16:uniqueId val="{00000001-0242-4B32-8CFA-4060DE7AC352}"/>
            </c:ext>
          </c:extLst>
        </c:ser>
        <c:ser>
          <c:idx val="2"/>
          <c:order val="2"/>
          <c:tx>
            <c:strRef>
              <c:f>'05_28_2020'!$E$2:$E$2</c:f>
              <c:strCache>
                <c:ptCount val="1"/>
              </c:strCache>
            </c:strRef>
          </c:tx>
          <c:spPr>
            <a:solidFill>
              <a:srgbClr val="196B24"/>
            </a:solidFill>
            <a:ln w="0">
              <a:noFill/>
            </a:ln>
          </c:spPr>
          <c:invertIfNegative val="0"/>
          <c:dLbls>
            <c:spPr>
              <a:noFill/>
              <a:ln>
                <a:noFill/>
              </a:ln>
              <a:effectLst/>
            </c:spPr>
            <c:txPr>
              <a:bodyPr wrap="square"/>
              <a:lstStyle/>
              <a:p>
                <a:pPr>
                  <a:defRPr sz="1000" b="0" strike="noStrike" spc="-1">
                    <a:solidFill>
                      <a:srgbClr val="000000"/>
                    </a:solidFill>
                    <a:latin typeface="Aptos Narrow"/>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'05_28_2020'!$B$107:$B$110</c:f>
              <c:numCache>
                <c:formatCode>General</c:formatCode>
                <c:ptCount val="4"/>
              </c:numCache>
            </c:numRef>
          </c:cat>
          <c:val>
            <c:numRef>
              <c:f>'05_28_2020'!$E$107:$E$110</c:f>
              <c:numCache>
                <c:formatCode>General</c:formatCode>
                <c:ptCount val="4"/>
              </c:numCache>
            </c:numRef>
          </c:val>
          <c:extLst>
            <c:ext xmlns:c16="http://schemas.microsoft.com/office/drawing/2014/chart" uri="{C3380CC4-5D6E-409C-BE32-E72D297353CC}">
              <c16:uniqueId val="{00000002-0242-4B32-8CFA-4060DE7AC352}"/>
            </c:ext>
          </c:extLst>
        </c:ser>
        <c:dLbls>
          <c:showLegendKey val="0"/>
          <c:showVal val="0"/>
          <c:showCatName val="0"/>
          <c:showSerName val="0"/>
          <c:showPercent val="0"/>
          <c:showBubbleSize val="0"/>
        </c:dLbls>
        <c:gapWidth val="150"/>
        <c:axId val="8819066"/>
        <c:axId val="12365379"/>
      </c:barChart>
      <c:catAx>
        <c:axId val="881906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000000"/>
                </a:solidFill>
                <a:latin typeface="Aptos Narrow"/>
              </a:defRPr>
            </a:pPr>
            <a:endParaRPr lang="en-US"/>
          </a:p>
        </c:txPr>
        <c:crossAx val="12365379"/>
        <c:crosses val="autoZero"/>
        <c:auto val="1"/>
        <c:lblAlgn val="ctr"/>
        <c:lblOffset val="100"/>
        <c:noMultiLvlLbl val="0"/>
      </c:catAx>
      <c:valAx>
        <c:axId val="12365379"/>
        <c:scaling>
          <c:orientation val="minMax"/>
        </c:scaling>
        <c:delete val="0"/>
        <c:axPos val="l"/>
        <c:numFmt formatCode="0.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Aptos Narrow"/>
              </a:defRPr>
            </a:pPr>
            <a:endParaRPr lang="en-US"/>
          </a:p>
        </c:txPr>
        <c:crossAx val="8819066"/>
        <c:crosses val="autoZero"/>
        <c:crossBetween val="between"/>
      </c:valAx>
      <c:spPr>
        <a:noFill/>
        <a:ln w="25560">
          <a:noFill/>
        </a:ln>
      </c:spPr>
    </c:plotArea>
    <c:legend>
      <c:legendPos val="b"/>
      <c:overlay val="0"/>
      <c:spPr>
        <a:noFill/>
        <a:ln w="0">
          <a:noFill/>
        </a:ln>
      </c:spPr>
      <c:txPr>
        <a:bodyPr/>
        <a:lstStyle/>
        <a:p>
          <a:pPr>
            <a:defRPr sz="900" b="0" strike="noStrike" spc="-1">
              <a:solidFill>
                <a:srgbClr val="000000"/>
              </a:solidFill>
              <a:latin typeface="Aptos Narrow"/>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31</xdr:col>
      <xdr:colOff>349560</xdr:colOff>
      <xdr:row>25</xdr:row>
      <xdr:rowOff>6840</xdr:rowOff>
    </xdr:from>
    <xdr:to>
      <xdr:col>31</xdr:col>
      <xdr:colOff>744120</xdr:colOff>
      <xdr:row>33</xdr:row>
      <xdr:rowOff>139680</xdr:rowOff>
    </xdr:to>
    <xdr:sp macro="" textlink="">
      <xdr:nvSpPr>
        <xdr:cNvPr id="3" name="Rectangle 12">
          <a:extLst>
            <a:ext uri="{FF2B5EF4-FFF2-40B4-BE49-F238E27FC236}">
              <a16:creationId xmlns:a16="http://schemas.microsoft.com/office/drawing/2014/main" id="{00000000-0008-0000-0000-000003000000}"/>
            </a:ext>
          </a:extLst>
        </xdr:cNvPr>
        <xdr:cNvSpPr/>
      </xdr:nvSpPr>
      <xdr:spPr>
        <a:xfrm>
          <a:off x="42161760" y="5580720"/>
          <a:ext cx="394560" cy="241596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139680</xdr:rowOff>
    </xdr:from>
    <xdr:to>
      <xdr:col>37</xdr:col>
      <xdr:colOff>455040</xdr:colOff>
      <xdr:row>37</xdr:row>
      <xdr:rowOff>181440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70920</xdr:colOff>
      <xdr:row>27</xdr:row>
      <xdr:rowOff>21240</xdr:rowOff>
    </xdr:from>
    <xdr:to>
      <xdr:col>32</xdr:col>
      <xdr:colOff>756360</xdr:colOff>
      <xdr:row>28</xdr:row>
      <xdr:rowOff>60840</xdr:rowOff>
    </xdr:to>
    <xdr:sp macro="" textlink="">
      <xdr:nvSpPr>
        <xdr:cNvPr id="5" name="TextBox 5">
          <a:extLst>
            <a:ext uri="{FF2B5EF4-FFF2-40B4-BE49-F238E27FC236}">
              <a16:creationId xmlns:a16="http://schemas.microsoft.com/office/drawing/2014/main" id="{00000000-0008-0000-0000-000005000000}"/>
            </a:ext>
          </a:extLst>
        </xdr:cNvPr>
        <xdr:cNvSpPr/>
      </xdr:nvSpPr>
      <xdr:spPr>
        <a:xfrm>
          <a:off x="42820920" y="6004800"/>
          <a:ext cx="685440" cy="23976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282960</xdr:colOff>
      <xdr:row>29</xdr:row>
      <xdr:rowOff>52920</xdr:rowOff>
    </xdr:from>
    <xdr:to>
      <xdr:col>32</xdr:col>
      <xdr:colOff>577440</xdr:colOff>
      <xdr:row>31</xdr:row>
      <xdr:rowOff>429480</xdr:rowOff>
    </xdr:to>
    <xdr:sp macro="" textlink="">
      <xdr:nvSpPr>
        <xdr:cNvPr id="6" name="Rectangle 6">
          <a:extLst>
            <a:ext uri="{FF2B5EF4-FFF2-40B4-BE49-F238E27FC236}">
              <a16:creationId xmlns:a16="http://schemas.microsoft.com/office/drawing/2014/main" id="{00000000-0008-0000-0000-000006000000}"/>
            </a:ext>
          </a:extLst>
        </xdr:cNvPr>
        <xdr:cNvSpPr/>
      </xdr:nvSpPr>
      <xdr:spPr>
        <a:xfrm>
          <a:off x="43032960" y="6436440"/>
          <a:ext cx="294480" cy="797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29</xdr:col>
      <xdr:colOff>105120</xdr:colOff>
      <xdr:row>29</xdr:row>
      <xdr:rowOff>143640</xdr:rowOff>
    </xdr:from>
    <xdr:to>
      <xdr:col>29</xdr:col>
      <xdr:colOff>670320</xdr:colOff>
      <xdr:row>31</xdr:row>
      <xdr:rowOff>19800</xdr:rowOff>
    </xdr:to>
    <xdr:sp macro="" textlink="">
      <xdr:nvSpPr>
        <xdr:cNvPr id="7" name="TextBox 7">
          <a:extLst>
            <a:ext uri="{FF2B5EF4-FFF2-40B4-BE49-F238E27FC236}">
              <a16:creationId xmlns:a16="http://schemas.microsoft.com/office/drawing/2014/main" id="{00000000-0008-0000-0000-000007000000}"/>
            </a:ext>
          </a:extLst>
        </xdr:cNvPr>
        <xdr:cNvSpPr/>
      </xdr:nvSpPr>
      <xdr:spPr>
        <a:xfrm>
          <a:off x="40041720" y="6527160"/>
          <a:ext cx="565200" cy="2966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xdr:from>
      <xdr:col>29</xdr:col>
      <xdr:colOff>188280</xdr:colOff>
      <xdr:row>31</xdr:row>
      <xdr:rowOff>33480</xdr:rowOff>
    </xdr:from>
    <xdr:to>
      <xdr:col>29</xdr:col>
      <xdr:colOff>482760</xdr:colOff>
      <xdr:row>31</xdr:row>
      <xdr:rowOff>825480</xdr:rowOff>
    </xdr:to>
    <xdr:sp macro="" textlink="">
      <xdr:nvSpPr>
        <xdr:cNvPr id="8" name="Rectangle 4">
          <a:extLst>
            <a:ext uri="{FF2B5EF4-FFF2-40B4-BE49-F238E27FC236}">
              <a16:creationId xmlns:a16="http://schemas.microsoft.com/office/drawing/2014/main" id="{00000000-0008-0000-0000-000008000000}"/>
            </a:ext>
          </a:extLst>
        </xdr:cNvPr>
        <xdr:cNvSpPr/>
      </xdr:nvSpPr>
      <xdr:spPr>
        <a:xfrm>
          <a:off x="40124880" y="6837480"/>
          <a:ext cx="294480" cy="79200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29</xdr:col>
      <xdr:colOff>179280</xdr:colOff>
      <xdr:row>45</xdr:row>
      <xdr:rowOff>73080</xdr:rowOff>
    </xdr:from>
    <xdr:to>
      <xdr:col>37</xdr:col>
      <xdr:colOff>748440</xdr:colOff>
      <xdr:row>58</xdr:row>
      <xdr:rowOff>104760</xdr:rowOff>
    </xdr:to>
    <xdr:graphicFrame macro="">
      <xdr:nvGraphicFramePr>
        <xdr:cNvPr id="9" name="Chart 9">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349560</xdr:colOff>
      <xdr:row>25</xdr:row>
      <xdr:rowOff>68760</xdr:rowOff>
    </xdr:from>
    <xdr:to>
      <xdr:col>30</xdr:col>
      <xdr:colOff>744120</xdr:colOff>
      <xdr:row>34</xdr:row>
      <xdr:rowOff>20880</xdr:rowOff>
    </xdr:to>
    <xdr:sp macro="" textlink="">
      <xdr:nvSpPr>
        <xdr:cNvPr id="9" name="Rectangle 12">
          <a:extLst>
            <a:ext uri="{FF2B5EF4-FFF2-40B4-BE49-F238E27FC236}">
              <a16:creationId xmlns:a16="http://schemas.microsoft.com/office/drawing/2014/main" id="{00000000-0008-0000-0100-000009000000}"/>
            </a:ext>
          </a:extLst>
        </xdr:cNvPr>
        <xdr:cNvSpPr/>
      </xdr:nvSpPr>
      <xdr:spPr>
        <a:xfrm>
          <a:off x="41223960" y="5590080"/>
          <a:ext cx="394560" cy="24350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20</xdr:col>
      <xdr:colOff>507960</xdr:colOff>
      <xdr:row>8</xdr:row>
      <xdr:rowOff>168480</xdr:rowOff>
    </xdr:from>
    <xdr:to>
      <xdr:col>36</xdr:col>
      <xdr:colOff>455040</xdr:colOff>
      <xdr:row>38</xdr:row>
      <xdr:rowOff>72360</xdr:rowOff>
    </xdr:to>
    <xdr:graphicFrame macro="">
      <xdr:nvGraphicFramePr>
        <xdr:cNvPr id="10" name="Chart 3">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1335240</xdr:colOff>
      <xdr:row>17</xdr:row>
      <xdr:rowOff>86400</xdr:rowOff>
    </xdr:from>
    <xdr:to>
      <xdr:col>26</xdr:col>
      <xdr:colOff>285120</xdr:colOff>
      <xdr:row>32</xdr:row>
      <xdr:rowOff>139680</xdr:rowOff>
    </xdr:to>
    <xdr:sp macro="" textlink="">
      <xdr:nvSpPr>
        <xdr:cNvPr id="11" name="Rectangle 4">
          <a:extLst>
            <a:ext uri="{FF2B5EF4-FFF2-40B4-BE49-F238E27FC236}">
              <a16:creationId xmlns:a16="http://schemas.microsoft.com/office/drawing/2014/main" id="{00000000-0008-0000-0100-00000B000000}"/>
            </a:ext>
          </a:extLst>
        </xdr:cNvPr>
        <xdr:cNvSpPr/>
      </xdr:nvSpPr>
      <xdr:spPr>
        <a:xfrm>
          <a:off x="36754200" y="3943440"/>
          <a:ext cx="653760" cy="380052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32</xdr:col>
      <xdr:colOff>478080</xdr:colOff>
      <xdr:row>26</xdr:row>
      <xdr:rowOff>82800</xdr:rowOff>
    </xdr:from>
    <xdr:to>
      <xdr:col>33</xdr:col>
      <xdr:colOff>339120</xdr:colOff>
      <xdr:row>27</xdr:row>
      <xdr:rowOff>132480</xdr:rowOff>
    </xdr:to>
    <xdr:sp macro="" textlink="">
      <xdr:nvSpPr>
        <xdr:cNvPr id="12" name="TextBox 5">
          <a:extLst>
            <a:ext uri="{FF2B5EF4-FFF2-40B4-BE49-F238E27FC236}">
              <a16:creationId xmlns:a16="http://schemas.microsoft.com/office/drawing/2014/main" id="{00000000-0008-0000-0100-00000C000000}"/>
            </a:ext>
          </a:extLst>
        </xdr:cNvPr>
        <xdr:cNvSpPr/>
      </xdr:nvSpPr>
      <xdr:spPr>
        <a:xfrm>
          <a:off x="43228080" y="5813640"/>
          <a:ext cx="799200" cy="24984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OPD</a:t>
          </a:r>
          <a:endParaRPr lang="en-US" sz="1600" b="0" strike="noStrike" spc="-1">
            <a:latin typeface="Times New Roman"/>
          </a:endParaRPr>
        </a:p>
      </xdr:txBody>
    </xdr:sp>
    <xdr:clientData/>
  </xdr:twoCellAnchor>
  <xdr:twoCellAnchor>
    <xdr:from>
      <xdr:col>32</xdr:col>
      <xdr:colOff>647640</xdr:colOff>
      <xdr:row>31</xdr:row>
      <xdr:rowOff>97200</xdr:rowOff>
    </xdr:from>
    <xdr:to>
      <xdr:col>33</xdr:col>
      <xdr:colOff>161280</xdr:colOff>
      <xdr:row>32</xdr:row>
      <xdr:rowOff>72000</xdr:rowOff>
    </xdr:to>
    <xdr:sp macro="" textlink="">
      <xdr:nvSpPr>
        <xdr:cNvPr id="13" name="Rectangle 6">
          <a:extLst>
            <a:ext uri="{FF2B5EF4-FFF2-40B4-BE49-F238E27FC236}">
              <a16:creationId xmlns:a16="http://schemas.microsoft.com/office/drawing/2014/main" id="{00000000-0008-0000-0100-00000D000000}"/>
            </a:ext>
          </a:extLst>
        </xdr:cNvPr>
        <xdr:cNvSpPr/>
      </xdr:nvSpPr>
      <xdr:spPr>
        <a:xfrm>
          <a:off x="43397640" y="6848640"/>
          <a:ext cx="451800" cy="827640"/>
        </a:xfrm>
        <a:prstGeom prst="rect">
          <a:avLst/>
        </a:prstGeom>
        <a:noFill/>
        <a:ln w="28575">
          <a:solidFill>
            <a:srgbClr val="FF0000"/>
          </a:solidFill>
          <a:prstDash val="dash"/>
          <a:miter/>
        </a:ln>
      </xdr:spPr>
      <xdr:style>
        <a:lnRef idx="2">
          <a:schemeClr val="accent1">
            <a:shade val="15000"/>
          </a:schemeClr>
        </a:lnRef>
        <a:fillRef idx="1">
          <a:schemeClr val="accent1"/>
        </a:fillRef>
        <a:effectRef idx="0">
          <a:schemeClr val="accent1"/>
        </a:effectRef>
        <a:fontRef idx="minor"/>
      </xdr:style>
    </xdr:sp>
    <xdr:clientData/>
  </xdr:twoCellAnchor>
  <xdr:twoCellAnchor>
    <xdr:from>
      <xdr:col>25</xdr:col>
      <xdr:colOff>1263600</xdr:colOff>
      <xdr:row>15</xdr:row>
      <xdr:rowOff>114120</xdr:rowOff>
    </xdr:from>
    <xdr:to>
      <xdr:col>26</xdr:col>
      <xdr:colOff>324720</xdr:colOff>
      <xdr:row>17</xdr:row>
      <xdr:rowOff>15480</xdr:rowOff>
    </xdr:to>
    <xdr:sp macro="" textlink="">
      <xdr:nvSpPr>
        <xdr:cNvPr id="14" name="TextBox 7">
          <a:extLst>
            <a:ext uri="{FF2B5EF4-FFF2-40B4-BE49-F238E27FC236}">
              <a16:creationId xmlns:a16="http://schemas.microsoft.com/office/drawing/2014/main" id="{00000000-0008-0000-0100-00000E000000}"/>
            </a:ext>
          </a:extLst>
        </xdr:cNvPr>
        <xdr:cNvSpPr/>
      </xdr:nvSpPr>
      <xdr:spPr>
        <a:xfrm>
          <a:off x="36682560" y="3571200"/>
          <a:ext cx="765000" cy="3013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600" b="1" strike="noStrike" spc="-1">
              <a:solidFill>
                <a:srgbClr val="000000"/>
              </a:solidFill>
              <a:latin typeface="Aptos Narrow"/>
            </a:rPr>
            <a:t>EPD</a:t>
          </a:r>
          <a:endParaRPr lang="en-US" sz="1600" b="0" strike="noStrike" spc="-1">
            <a:latin typeface="Times New Roman"/>
          </a:endParaRPr>
        </a:p>
      </xdr:txBody>
    </xdr:sp>
    <xdr:clientData/>
  </xdr:twoCellAnchor>
  <xdr:twoCellAnchor editAs="oneCell">
    <xdr:from>
      <xdr:col>28</xdr:col>
      <xdr:colOff>300240</xdr:colOff>
      <xdr:row>46</xdr:row>
      <xdr:rowOff>172440</xdr:rowOff>
    </xdr:from>
    <xdr:to>
      <xdr:col>36</xdr:col>
      <xdr:colOff>368640</xdr:colOff>
      <xdr:row>58</xdr:row>
      <xdr:rowOff>415605</xdr:rowOff>
    </xdr:to>
    <xdr:graphicFrame macro="">
      <xdr:nvGraphicFramePr>
        <xdr:cNvPr id="15" name="Chart 9">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m Ngo" id="{32F70D81-5A18-4846-AC82-0BF3CEC48A04}" userId="S::nngo@dcwater.com::249bb9de-72eb-4c64-85ae-731f463b03a0" providerId="AD"/>
  <person displayName="Hafiza Khadija Ijaz" id="{A6D3F1A6-FB55-49DA-B266-B671BA346723}" userId="S::hljaz@dcwater.com::18df4640-6973-445c-83f4-148f3ddfa906" providerId="AD"/>
</personList>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2" dT="2025-02-24T23:32:01.73" personId="{32F70D81-5A18-4846-AC82-0BF3CEC48A04}" id="{35DC48EE-9D3C-4C64-8544-E5CBBF7DF61F}">
    <text>Use Power BI link to keep track of SBT3 TS</text>
  </threadedComment>
  <threadedComment ref="B12" dT="2025-02-24T23:32:44.32" personId="{32F70D81-5A18-4846-AC82-0BF3CEC48A04}" id="{7A642C00-C8BD-44B1-9538-519859FC0E2B}" parentId="{35DC48EE-9D3C-4C64-8544-E5CBBF7DF61F}">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9D8E0F67-152D-40C0-883B-73749856DC6F}">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842DDC76-E6F7-4549-BA5D-6ECD568E8175}">
    <text>Red highlighted value comes from plant data conversion table</text>
  </threadedComment>
  <threadedComment ref="D50" dT="2024-03-18T18:43:00.87" personId="{A6D3F1A6-FB55-49DA-B266-B671BA346723}" id="{2378111D-0D32-44F9-B0BA-F76F076024A6}">
    <text xml:space="preserve">Sample volume will remain same unless need to change due to thickness of filtrate </text>
  </threadedComment>
  <threadedComment ref="D61" dT="2024-03-18T18:46:02.76" personId="{A6D3F1A6-FB55-49DA-B266-B671BA346723}" id="{AB13D988-7287-4E67-BB0F-BC4E4F5E77D1}">
    <text>Sample + Tray weight &gt;= 5g</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5-02-24T23:32:01.73" personId="{32F70D81-5A18-4846-AC82-0BF3CEC48A04}" id="{54830D31-DD0D-4563-8746-B624894E80D2}">
    <text>Use Power BI link to keep track of SBT3 TS</text>
  </threadedComment>
  <threadedComment ref="B12" dT="2025-02-24T23:32:44.32" personId="{32F70D81-5A18-4846-AC82-0BF3CEC48A04}" id="{CF8138B4-0E49-4413-972F-733A0EDE7BED}" parentId="{54830D31-DD0D-4563-8746-B624894E80D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206E73B0-9386-447B-8C52-76F1135A40BD}">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C9078BF2-9038-43D6-B293-D948E87DA79B}">
    <text>Red highlighted value comes from plant data conversion table</text>
  </threadedComment>
  <threadedComment ref="D50" dT="2024-03-18T18:43:00.87" personId="{A6D3F1A6-FB55-49DA-B266-B671BA346723}" id="{09884B8A-915B-42E4-9F0F-96FA49FFB4CC}">
    <text xml:space="preserve">Sample volume will remain same unless need to change due to thickness of filtrate </text>
  </threadedComment>
  <threadedComment ref="D61" dT="2024-03-18T18:46:02.76" personId="{A6D3F1A6-FB55-49DA-B266-B671BA346723}" id="{12FC0E89-233F-421B-87AE-0C9105CF8D4F}">
    <text>Sample + Tray weight &gt;= 5g</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5-02-24T23:32:01.73" personId="{32F70D81-5A18-4846-AC82-0BF3CEC48A04}" id="{623617F5-F16F-408F-81A0-FC42797D80C8}">
    <text>Use Power BI link to keep track of SBT3 TS</text>
  </threadedComment>
  <threadedComment ref="B12" dT="2025-02-24T23:32:44.32" personId="{32F70D81-5A18-4846-AC82-0BF3CEC48A04}" id="{0C6003BE-63A4-46A7-8D5E-BFA6499371FE}" parentId="{623617F5-F16F-408F-81A0-FC42797D80C8}">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32F70D81-5A18-4846-AC82-0BF3CEC48A04}" id="{486DE866-C3B9-46C6-B72D-139B3A919AB2}">
    <text>During the testing, please use previous fe feed TS for decision making, Please make sure we use the measured valued in the same day to estimate the right polymer dose in lb/ton</text>
  </threadedComment>
  <threadedComment ref="B32" dT="2024-03-18T18:46:56.38" personId="{A6D3F1A6-FB55-49DA-B266-B671BA346723}" id="{51C0F9A3-52F5-4A47-9590-3E3975A767DB}">
    <text>Red highlighted value comes from plant data conversion table</text>
  </threadedComment>
  <threadedComment ref="D50" dT="2024-03-18T18:43:00.87" personId="{A6D3F1A6-FB55-49DA-B266-B671BA346723}" id="{3EA4C2B6-600E-4E4C-BA2A-08FA4BF43468}">
    <text xml:space="preserve">Sample volume will remain same unless need to change due to thickness of filtrate </text>
  </threadedComment>
  <threadedComment ref="D61" dT="2024-03-18T18:46:02.76" personId="{A6D3F1A6-FB55-49DA-B266-B671BA346723}" id="{9606A433-6E37-41B9-9B8A-81634C89778C}">
    <text>Sample + Tray weight &gt;= 5g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48E6-F636-4AD8-A9FA-2A7DF0EEE0FD}">
  <sheetPr>
    <tabColor theme="9" tint="-0.499984740745262"/>
    <pageSetUpPr fitToPage="1"/>
  </sheetPr>
  <dimension ref="A1:BF108"/>
  <sheetViews>
    <sheetView tabSelected="1" topLeftCell="A4" zoomScale="70" zoomScaleNormal="70" workbookViewId="0">
      <selection activeCell="B13" sqref="B13"/>
    </sheetView>
  </sheetViews>
  <sheetFormatPr defaultColWidth="8.7109375" defaultRowHeight="15.75" customHeight="1" outlineLevelRow="2" x14ac:dyDescent="0.25"/>
  <cols>
    <col min="1" max="1" width="39.42578125" style="178" customWidth="1"/>
    <col min="2" max="2" width="26.28515625" style="178" customWidth="1"/>
    <col min="3" max="3" width="32.28515625" style="178" customWidth="1"/>
    <col min="4" max="4" width="22.28515625" style="178" bestFit="1" customWidth="1"/>
    <col min="5" max="5" width="23.28515625" style="178" bestFit="1" customWidth="1"/>
    <col min="6" max="6" width="25.85546875" style="178" bestFit="1" customWidth="1"/>
    <col min="7" max="8" width="16.85546875" style="178" bestFit="1" customWidth="1"/>
    <col min="9" max="9" width="18.42578125" style="178" customWidth="1"/>
    <col min="10" max="10" width="15.85546875" style="178" bestFit="1" customWidth="1"/>
    <col min="11" max="11" width="16.42578125" style="178" bestFit="1" customWidth="1"/>
    <col min="12" max="12" width="16.85546875" style="178" bestFit="1" customWidth="1"/>
    <col min="13" max="13" width="17.28515625" style="178" bestFit="1" customWidth="1"/>
    <col min="14" max="14" width="36.5703125" style="178" bestFit="1" customWidth="1"/>
    <col min="15" max="15" width="11.140625" style="178" bestFit="1" customWidth="1"/>
    <col min="16" max="16" width="18.85546875" style="178" bestFit="1" customWidth="1"/>
    <col min="17" max="17" width="11.140625" style="178" bestFit="1" customWidth="1"/>
    <col min="18" max="18" width="11.85546875" style="178" bestFit="1" customWidth="1"/>
    <col min="19" max="21" width="11.7109375" style="178" customWidth="1"/>
    <col min="22" max="22" width="27.28515625" style="178" bestFit="1" customWidth="1"/>
    <col min="23" max="25" width="11.7109375" style="178" customWidth="1"/>
    <col min="26" max="26" width="21.28515625" style="178" customWidth="1"/>
    <col min="27" max="33" width="11.7109375" style="178" customWidth="1"/>
    <col min="34" max="34" width="17.7109375" style="178" bestFit="1" customWidth="1"/>
    <col min="35" max="35" width="11.7109375" style="178" customWidth="1"/>
    <col min="36" max="36" width="13.28515625" style="178" bestFit="1" customWidth="1"/>
    <col min="37" max="37" width="14.7109375" style="178" bestFit="1" customWidth="1"/>
    <col min="38" max="38" width="11.7109375" style="178" customWidth="1"/>
    <col min="39" max="39" width="9.42578125" style="178" customWidth="1"/>
    <col min="40" max="40" width="8.28515625" style="178" bestFit="1" customWidth="1"/>
    <col min="41" max="41" width="7.42578125" style="178" bestFit="1" customWidth="1"/>
    <col min="42" max="43" width="9.28515625" style="178" bestFit="1" customWidth="1"/>
    <col min="44" max="44" width="8.42578125" style="178" bestFit="1" customWidth="1"/>
    <col min="45" max="64" width="9.28515625" style="178" bestFit="1" customWidth="1"/>
    <col min="65" max="65" width="8.7109375" style="178" customWidth="1"/>
    <col min="66" max="16383" width="8.7109375" style="178"/>
    <col min="16384" max="16384" width="8.7109375" style="178" bestFit="1" customWidth="1"/>
  </cols>
  <sheetData>
    <row r="1" spans="1:58" x14ac:dyDescent="0.25">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x14ac:dyDescent="0.25">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x14ac:dyDescent="0.25">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x14ac:dyDescent="0.25">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
      <c r="A5" s="179"/>
      <c r="B5" s="176"/>
      <c r="C5" s="176"/>
      <c r="D5" s="176"/>
      <c r="E5" s="176"/>
      <c r="F5" s="176"/>
      <c r="G5" s="176"/>
      <c r="H5" s="176"/>
      <c r="I5" s="176"/>
      <c r="J5" s="176"/>
      <c r="K5" s="176"/>
      <c r="L5" s="176"/>
      <c r="M5" s="176"/>
      <c r="N5" s="176"/>
      <c r="O5" s="176"/>
      <c r="P5" s="176"/>
      <c r="Q5" s="176"/>
      <c r="R5" s="176"/>
      <c r="S5" s="176"/>
      <c r="T5" s="176"/>
      <c r="U5" s="547" t="s">
        <v>150</v>
      </c>
      <c r="V5" s="548"/>
      <c r="W5" s="548"/>
      <c r="X5" s="548"/>
      <c r="Y5" s="548"/>
      <c r="Z5" s="548"/>
      <c r="AA5" s="548"/>
      <c r="AB5" s="548"/>
      <c r="AC5" s="548"/>
      <c r="AD5" s="548"/>
      <c r="AE5" s="548"/>
      <c r="AF5" s="548"/>
      <c r="AG5" s="548"/>
      <c r="AH5" s="548"/>
      <c r="AI5" s="548"/>
      <c r="AJ5" s="548"/>
      <c r="AK5" s="548"/>
      <c r="AL5" s="549"/>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
      <c r="A6" s="553" t="s">
        <v>4</v>
      </c>
      <c r="B6" s="554"/>
      <c r="C6" s="554"/>
      <c r="D6" s="555"/>
      <c r="E6" s="176"/>
      <c r="F6" s="181" t="s">
        <v>5</v>
      </c>
      <c r="G6" s="182"/>
      <c r="H6" s="182"/>
      <c r="I6" s="182"/>
      <c r="J6" s="182"/>
      <c r="K6" s="183"/>
      <c r="L6" s="183"/>
      <c r="M6" s="183"/>
      <c r="N6" s="176"/>
      <c r="O6" s="176"/>
      <c r="P6" s="176"/>
      <c r="Q6" s="176"/>
      <c r="R6" s="176"/>
      <c r="S6" s="176"/>
      <c r="T6" s="176"/>
      <c r="U6" s="550"/>
      <c r="V6" s="551"/>
      <c r="W6" s="551"/>
      <c r="X6" s="551"/>
      <c r="Y6" s="551"/>
      <c r="Z6" s="551"/>
      <c r="AA6" s="551"/>
      <c r="AB6" s="551"/>
      <c r="AC6" s="551"/>
      <c r="AD6" s="551"/>
      <c r="AE6" s="551"/>
      <c r="AF6" s="551"/>
      <c r="AG6" s="551"/>
      <c r="AH6" s="551"/>
      <c r="AI6" s="551"/>
      <c r="AJ6" s="551"/>
      <c r="AK6" s="551"/>
      <c r="AL6" s="552"/>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
      <c r="A7" s="184" t="s">
        <v>151</v>
      </c>
      <c r="B7" s="185">
        <v>0.39583333333333331</v>
      </c>
      <c r="C7" s="186"/>
      <c r="D7" s="187"/>
      <c r="E7" s="176"/>
      <c r="F7" s="188"/>
      <c r="G7" s="189"/>
      <c r="H7" s="189"/>
      <c r="I7" s="190"/>
      <c r="J7" s="191"/>
      <c r="K7" s="192" t="s">
        <v>152</v>
      </c>
      <c r="L7" s="192" t="s">
        <v>153</v>
      </c>
      <c r="M7" s="192" t="s">
        <v>154</v>
      </c>
      <c r="N7" s="176" t="s">
        <v>155</v>
      </c>
      <c r="O7" s="176"/>
      <c r="P7" s="176"/>
      <c r="Q7" s="176"/>
      <c r="R7" s="176"/>
      <c r="S7" s="176"/>
      <c r="T7" s="176"/>
      <c r="U7" s="550"/>
      <c r="V7" s="551"/>
      <c r="W7" s="551"/>
      <c r="X7" s="551"/>
      <c r="Y7" s="551"/>
      <c r="Z7" s="551"/>
      <c r="AA7" s="551"/>
      <c r="AB7" s="551"/>
      <c r="AC7" s="551"/>
      <c r="AD7" s="551"/>
      <c r="AE7" s="551"/>
      <c r="AF7" s="551"/>
      <c r="AG7" s="551"/>
      <c r="AH7" s="551"/>
      <c r="AI7" s="551"/>
      <c r="AJ7" s="551"/>
      <c r="AK7" s="551"/>
      <c r="AL7" s="552"/>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
      <c r="A8" s="193" t="s">
        <v>6</v>
      </c>
      <c r="B8" s="194" t="s">
        <v>156</v>
      </c>
      <c r="C8" s="186" t="s">
        <v>8</v>
      </c>
      <c r="D8" s="187">
        <f>D10*B11*8.34*10000</f>
        <v>415.55617919999997</v>
      </c>
      <c r="E8" s="176"/>
      <c r="F8" s="195" t="s">
        <v>151</v>
      </c>
      <c r="G8" s="196">
        <f>B7</f>
        <v>0.39583333333333331</v>
      </c>
      <c r="H8" s="195"/>
      <c r="I8" s="195"/>
      <c r="J8" s="197"/>
      <c r="K8" s="198" t="s">
        <v>157</v>
      </c>
      <c r="L8" s="198">
        <v>0</v>
      </c>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
      <c r="A9" s="184" t="s">
        <v>10</v>
      </c>
      <c r="B9" s="194">
        <v>0.158</v>
      </c>
      <c r="C9" s="200" t="s">
        <v>11</v>
      </c>
      <c r="D9" s="201">
        <f>B9*B10</f>
        <v>13.8408</v>
      </c>
      <c r="E9" s="176"/>
      <c r="F9" s="195"/>
      <c r="G9" s="202" t="s">
        <v>12</v>
      </c>
      <c r="H9" s="202" t="s">
        <v>13</v>
      </c>
      <c r="I9" s="202" t="s">
        <v>14</v>
      </c>
      <c r="J9" s="203" t="s">
        <v>15</v>
      </c>
      <c r="K9" s="198" t="s">
        <v>159</v>
      </c>
      <c r="L9" s="198">
        <v>1</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
      <c r="A10" s="184" t="s">
        <v>16</v>
      </c>
      <c r="B10" s="204">
        <v>87.6</v>
      </c>
      <c r="C10" s="200" t="s">
        <v>17</v>
      </c>
      <c r="D10" s="201">
        <f>D9*1440/1000000</f>
        <v>1.9930751999999999E-2</v>
      </c>
      <c r="E10" s="176"/>
      <c r="F10" s="195" t="s">
        <v>18</v>
      </c>
      <c r="G10" s="205" t="s">
        <v>19</v>
      </c>
      <c r="H10" s="206">
        <f>B13</f>
        <v>3.3800667353757263</v>
      </c>
      <c r="I10" s="206"/>
      <c r="J10" s="207"/>
      <c r="K10" s="198" t="s">
        <v>160</v>
      </c>
      <c r="L10" s="198">
        <v>1</v>
      </c>
      <c r="M10" s="198"/>
      <c r="N10" s="176"/>
      <c r="O10" s="176"/>
      <c r="P10" s="176"/>
      <c r="Q10" s="176"/>
      <c r="R10" s="176"/>
      <c r="S10" s="176"/>
      <c r="T10" s="176"/>
      <c r="U10" s="199"/>
      <c r="V10" s="556" t="s">
        <v>161</v>
      </c>
      <c r="W10" s="557"/>
      <c r="X10" s="558"/>
      <c r="Y10" s="199"/>
      <c r="Z10" s="199"/>
      <c r="AA10" s="199"/>
      <c r="AB10" s="199"/>
      <c r="AC10" s="199"/>
      <c r="AD10" s="199"/>
      <c r="AE10" s="199"/>
      <c r="AF10" s="199"/>
      <c r="AG10" s="199"/>
      <c r="AH10" s="199"/>
      <c r="AI10" s="561" t="s">
        <v>81</v>
      </c>
      <c r="AJ10" s="562"/>
      <c r="AK10" s="563"/>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
      <c r="A11" s="184" t="s">
        <v>20</v>
      </c>
      <c r="B11" s="208">
        <v>0.25</v>
      </c>
      <c r="C11" s="200" t="s">
        <v>21</v>
      </c>
      <c r="D11" s="201">
        <f>B10*1440/1000000</f>
        <v>0.12614399999999998</v>
      </c>
      <c r="E11" s="176"/>
      <c r="F11" s="195" t="s">
        <v>22</v>
      </c>
      <c r="G11" s="205" t="s">
        <v>23</v>
      </c>
      <c r="H11" s="209">
        <f>B9</f>
        <v>0.158</v>
      </c>
      <c r="I11" s="209"/>
      <c r="J11" s="210"/>
      <c r="K11" s="198" t="s">
        <v>162</v>
      </c>
      <c r="L11" s="198">
        <v>1</v>
      </c>
      <c r="M11" s="198"/>
      <c r="N11" s="176"/>
      <c r="O11" s="176"/>
      <c r="P11" s="176"/>
      <c r="Q11" s="176"/>
      <c r="R11" s="176"/>
      <c r="S11" s="176"/>
      <c r="T11" s="176"/>
      <c r="U11" s="199"/>
      <c r="V11" s="559"/>
      <c r="W11" s="534"/>
      <c r="X11" s="560"/>
      <c r="Y11" s="199"/>
      <c r="Z11" s="199"/>
      <c r="AA11" s="199"/>
      <c r="AB11" s="199"/>
      <c r="AC11" s="199"/>
      <c r="AD11" s="199"/>
      <c r="AE11" s="199"/>
      <c r="AF11" s="199"/>
      <c r="AG11" s="199"/>
      <c r="AH11" s="199"/>
      <c r="AI11" s="564"/>
      <c r="AJ11" s="565"/>
      <c r="AK11" s="566"/>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35">
      <c r="A12" s="184" t="s">
        <v>24</v>
      </c>
      <c r="B12" s="211">
        <v>5.2</v>
      </c>
      <c r="C12" s="200" t="s">
        <v>25</v>
      </c>
      <c r="D12" s="201">
        <f>(B12/(1+(B15/B14)))</f>
        <v>3.2790588235294118</v>
      </c>
      <c r="E12" s="176"/>
      <c r="F12" s="195" t="s">
        <v>26</v>
      </c>
      <c r="G12" s="205" t="s">
        <v>27</v>
      </c>
      <c r="H12" s="212">
        <f>D15</f>
        <v>23.372319597476352</v>
      </c>
      <c r="I12" s="213">
        <f>Y97</f>
        <v>21.463569251046401</v>
      </c>
      <c r="J12" s="214">
        <f>AN97</f>
        <v>16.558496225443253</v>
      </c>
      <c r="K12" s="198" t="s">
        <v>163</v>
      </c>
      <c r="L12" s="198">
        <v>1</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35">
      <c r="A13" s="184" t="s">
        <v>28</v>
      </c>
      <c r="B13" s="221">
        <f>J69</f>
        <v>3.3800667353757263</v>
      </c>
      <c r="C13" s="200" t="s">
        <v>29</v>
      </c>
      <c r="D13" s="201">
        <f>D11*D12*8.34*(10000/2000)</f>
        <v>17.248520963011764</v>
      </c>
      <c r="E13" s="176"/>
      <c r="F13" s="195" t="s">
        <v>30</v>
      </c>
      <c r="G13" s="205" t="s">
        <v>19</v>
      </c>
      <c r="H13" s="206">
        <f>AT97</f>
        <v>30.572141260361821</v>
      </c>
      <c r="I13" s="213">
        <f>Z97</f>
        <v>31.395313907850941</v>
      </c>
      <c r="J13" s="214">
        <f>AO97</f>
        <v>31.723239802463461</v>
      </c>
      <c r="K13" s="198"/>
      <c r="L13" s="198"/>
      <c r="M13" s="198"/>
      <c r="N13" s="176"/>
      <c r="O13" s="176"/>
      <c r="P13" s="176"/>
      <c r="Q13" s="176"/>
      <c r="R13" s="176"/>
      <c r="S13" s="176"/>
      <c r="T13" s="176"/>
      <c r="U13" s="199"/>
      <c r="V13" s="567" t="s">
        <v>164</v>
      </c>
      <c r="W13" s="568"/>
      <c r="X13" s="222">
        <f>B7</f>
        <v>0.39583333333333331</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35">
      <c r="A14" s="184" t="s">
        <v>31</v>
      </c>
      <c r="B14" s="226">
        <v>268</v>
      </c>
      <c r="C14" s="200" t="s">
        <v>32</v>
      </c>
      <c r="D14" s="201">
        <f>D8/D13</f>
        <v>24.092278989667051</v>
      </c>
      <c r="E14" s="176"/>
      <c r="F14" s="195" t="s">
        <v>33</v>
      </c>
      <c r="G14" s="205" t="s">
        <v>34</v>
      </c>
      <c r="H14" s="206">
        <f>AU97</f>
        <v>370.00000000000364</v>
      </c>
      <c r="I14" s="213">
        <f>AA97</f>
        <v>555.00000000000546</v>
      </c>
      <c r="J14" s="214">
        <f>AP97</f>
        <v>714.99999999998784</v>
      </c>
      <c r="K14" s="198"/>
      <c r="L14" s="198"/>
      <c r="M14" s="198"/>
      <c r="N14" s="176"/>
      <c r="O14" s="176"/>
      <c r="P14" s="176"/>
      <c r="Q14" s="176"/>
      <c r="R14" s="176"/>
      <c r="S14" s="176"/>
      <c r="T14" s="176"/>
      <c r="U14" s="227"/>
      <c r="V14" s="569" t="s">
        <v>165</v>
      </c>
      <c r="W14" s="570"/>
      <c r="X14" s="228" t="s">
        <v>166</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45">
      <c r="A15" s="232" t="s">
        <v>35</v>
      </c>
      <c r="B15" s="233">
        <v>157</v>
      </c>
      <c r="C15" s="234" t="s">
        <v>36</v>
      </c>
      <c r="D15" s="235">
        <f>((B9*B11)/B13)*2000</f>
        <v>23.372319597476352</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35">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534" t="s">
        <v>5</v>
      </c>
      <c r="AG16" s="534"/>
      <c r="AH16" s="534"/>
      <c r="AI16" s="534"/>
      <c r="AJ16" s="534"/>
      <c r="AK16" s="534"/>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35">
      <c r="A17" s="536" t="s">
        <v>37</v>
      </c>
      <c r="B17" s="537"/>
      <c r="C17" s="538"/>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535"/>
      <c r="AG17" s="535"/>
      <c r="AH17" s="535"/>
      <c r="AI17" s="535"/>
      <c r="AJ17" s="535"/>
      <c r="AK17" s="535"/>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8.75" outlineLevel="2" x14ac:dyDescent="0.3">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539" t="s">
        <v>168</v>
      </c>
      <c r="AG18" s="540"/>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8.75" outlineLevel="2" x14ac:dyDescent="0.3">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541"/>
      <c r="AG19" s="542"/>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75" outlineLevel="2" x14ac:dyDescent="0.3">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543"/>
      <c r="AG20" s="544"/>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75" outlineLevel="2" x14ac:dyDescent="0.3">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545" t="s">
        <v>18</v>
      </c>
      <c r="AG21" s="546"/>
      <c r="AH21" s="249" t="s">
        <v>19</v>
      </c>
      <c r="AI21" s="250">
        <f>H10</f>
        <v>3.3800667353757263</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75" outlineLevel="2" x14ac:dyDescent="0.3">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519" t="s">
        <v>22</v>
      </c>
      <c r="AG22" s="520"/>
      <c r="AH22" s="249" t="s">
        <v>106</v>
      </c>
      <c r="AI22" s="254">
        <f>H11</f>
        <v>0.158</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75" outlineLevel="2" x14ac:dyDescent="0.3">
      <c r="A23" s="523" t="s">
        <v>170</v>
      </c>
      <c r="B23" s="524"/>
      <c r="C23" s="525"/>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519" t="s">
        <v>26</v>
      </c>
      <c r="AG23" s="520"/>
      <c r="AH23" s="249" t="s">
        <v>27</v>
      </c>
      <c r="AI23" s="256">
        <f>H12</f>
        <v>23.372319597476352</v>
      </c>
      <c r="AJ23" s="256">
        <f>I12</f>
        <v>21.463569251046401</v>
      </c>
      <c r="AK23" s="257">
        <f>J12</f>
        <v>16.558496225443253</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75" outlineLevel="2" x14ac:dyDescent="0.3">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519" t="s">
        <v>30</v>
      </c>
      <c r="AG24" s="520"/>
      <c r="AH24" s="249" t="s">
        <v>19</v>
      </c>
      <c r="AI24" s="251">
        <f>H13</f>
        <v>30.572141260361821</v>
      </c>
      <c r="AJ24" s="259">
        <f t="shared" ref="AJ24:AK25" si="0">I13</f>
        <v>31.395313907850941</v>
      </c>
      <c r="AK24" s="260">
        <f t="shared" si="0"/>
        <v>31.723239802463461</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35">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521" t="s">
        <v>33</v>
      </c>
      <c r="AG25" s="522"/>
      <c r="AH25" s="261" t="s">
        <v>34</v>
      </c>
      <c r="AI25" s="262">
        <f>H14</f>
        <v>370.00000000000364</v>
      </c>
      <c r="AJ25" s="262">
        <f t="shared" si="0"/>
        <v>555.00000000000546</v>
      </c>
      <c r="AK25" s="263">
        <f t="shared" si="0"/>
        <v>714.99999999998784</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25">
      <c r="A26" s="523" t="s">
        <v>50</v>
      </c>
      <c r="B26" s="524"/>
      <c r="C26" s="525"/>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outlineLevel="2" x14ac:dyDescent="0.25">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5" outlineLevel="2" thickBot="1" x14ac:dyDescent="0.3">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267" t="s">
        <v>171</v>
      </c>
      <c r="AG28" s="199"/>
      <c r="AH28" s="199"/>
      <c r="AI28" s="199"/>
      <c r="AJ28" s="199"/>
      <c r="AK28" s="199"/>
      <c r="AL28" s="199"/>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x14ac:dyDescent="0.25">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268"/>
      <c r="AG29" s="199"/>
      <c r="AH29" s="199"/>
      <c r="AI29" s="199"/>
      <c r="AJ29" s="199"/>
      <c r="AK29" s="199"/>
      <c r="AL29" s="199"/>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5" thickBot="1" x14ac:dyDescent="0.3">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199"/>
      <c r="AG30" s="199"/>
      <c r="AH30" s="199"/>
      <c r="AI30" s="199"/>
      <c r="AJ30" s="199"/>
      <c r="AK30" s="199"/>
      <c r="AL30" s="199"/>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75" x14ac:dyDescent="0.3">
      <c r="A31" s="526" t="s">
        <v>55</v>
      </c>
      <c r="B31" s="527"/>
      <c r="C31" s="527"/>
      <c r="D31" s="527"/>
      <c r="E31" s="527"/>
      <c r="F31" s="527"/>
      <c r="G31" s="527"/>
      <c r="H31" s="527"/>
      <c r="I31" s="527"/>
      <c r="J31" s="527"/>
      <c r="K31" s="527"/>
      <c r="L31" s="527"/>
      <c r="M31" s="527"/>
      <c r="N31" s="527"/>
      <c r="O31" s="527"/>
      <c r="P31" s="527"/>
      <c r="Q31" s="527"/>
      <c r="R31" s="527"/>
      <c r="S31" s="269"/>
      <c r="T31" s="269"/>
      <c r="U31" s="199"/>
      <c r="V31" s="199"/>
      <c r="W31" s="199"/>
      <c r="X31" s="199"/>
      <c r="Y31" s="199"/>
      <c r="Z31" s="199"/>
      <c r="AA31" s="199"/>
      <c r="AB31" s="199"/>
      <c r="AC31" s="199"/>
      <c r="AD31" s="199"/>
      <c r="AE31" s="199"/>
      <c r="AF31" s="268"/>
      <c r="AG31" s="199"/>
      <c r="AH31" s="199"/>
      <c r="AI31" s="199"/>
      <c r="AJ31" s="199"/>
      <c r="AK31" s="270"/>
      <c r="AL31" s="199"/>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3" x14ac:dyDescent="0.25">
      <c r="A32" s="271" t="s">
        <v>56</v>
      </c>
      <c r="B32" s="272" t="s">
        <v>57</v>
      </c>
      <c r="C32" s="272" t="s">
        <v>58</v>
      </c>
      <c r="D32" s="272" t="s">
        <v>59</v>
      </c>
      <c r="E32" s="272" t="s">
        <v>60</v>
      </c>
      <c r="F32" s="272" t="s">
        <v>61</v>
      </c>
      <c r="G32" s="272"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199"/>
      <c r="AG32" s="199"/>
      <c r="AH32" s="199"/>
      <c r="AI32" s="199"/>
      <c r="AJ32" s="199"/>
      <c r="AK32" s="199"/>
      <c r="AL32" s="199"/>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x14ac:dyDescent="0.25">
      <c r="A33" s="276">
        <v>1</v>
      </c>
      <c r="B33" s="277">
        <v>16</v>
      </c>
      <c r="C33" s="278">
        <f>B13</f>
        <v>3.3800667353757263</v>
      </c>
      <c r="D33" s="279">
        <v>500.1</v>
      </c>
      <c r="E33" s="280">
        <f t="shared" ref="E33:E37" si="1">(B33*D33*$B$20*C33)/($B$19*$B$27)</f>
        <v>54.091868476783965</v>
      </c>
      <c r="F33" s="281">
        <v>56.84</v>
      </c>
      <c r="G33" s="281">
        <v>0.86</v>
      </c>
      <c r="H33" s="282">
        <f>F33-G33</f>
        <v>55.980000000000004</v>
      </c>
      <c r="I33" s="283">
        <f xml:space="preserve"> (H33*$B$27*$B$19)/ (D33*$B$20*C33)</f>
        <v>16.558496225443253</v>
      </c>
      <c r="J33" s="279">
        <v>447.27</v>
      </c>
      <c r="K33" s="284">
        <v>339.01</v>
      </c>
      <c r="L33" s="279">
        <v>593.28</v>
      </c>
      <c r="M33" s="279">
        <v>776.2</v>
      </c>
      <c r="N33" s="285">
        <v>100</v>
      </c>
      <c r="O33" s="286">
        <f>L33-J33</f>
        <v>146.01</v>
      </c>
      <c r="P33" s="280">
        <f>M33-K33</f>
        <v>437.19000000000005</v>
      </c>
      <c r="Q33" s="280">
        <f>((O33+P33)/O33)*(D33/(D33+H33))*C33</f>
        <v>12.141707558587427</v>
      </c>
      <c r="R33" s="287">
        <f>$B$24/Q33*100</f>
        <v>52.090883622227437</v>
      </c>
      <c r="S33" s="288"/>
      <c r="T33" s="288"/>
      <c r="U33" s="199"/>
      <c r="V33" s="199"/>
      <c r="W33" s="199"/>
      <c r="X33" s="199"/>
      <c r="Y33" s="199"/>
      <c r="Z33" s="199"/>
      <c r="AA33" s="199"/>
      <c r="AB33" s="199"/>
      <c r="AC33" s="199"/>
      <c r="AD33" s="199"/>
      <c r="AE33" s="199"/>
      <c r="AF33" s="289"/>
      <c r="AG33" s="199"/>
      <c r="AH33" s="199"/>
      <c r="AI33" s="199"/>
      <c r="AJ33" s="199"/>
      <c r="AK33" s="199"/>
      <c r="AL33" s="199"/>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x14ac:dyDescent="0.25">
      <c r="A34" s="276">
        <v>2</v>
      </c>
      <c r="B34" s="277">
        <v>18</v>
      </c>
      <c r="C34" s="278">
        <f t="shared" ref="C34:C37" si="2">C33</f>
        <v>3.3800667353757263</v>
      </c>
      <c r="D34" s="279">
        <v>500.39</v>
      </c>
      <c r="E34" s="280">
        <f t="shared" si="1"/>
        <v>60.888639922985732</v>
      </c>
      <c r="F34" s="279">
        <v>64.19</v>
      </c>
      <c r="G34" s="279">
        <v>0.83</v>
      </c>
      <c r="H34" s="282">
        <f t="shared" ref="H34:H37" si="3">F34-G34</f>
        <v>63.36</v>
      </c>
      <c r="I34" s="283">
        <f t="shared" ref="I34:I37" si="4" xml:space="preserve"> (H34*$B$27*$B$19)/ (D34*$B$20*C34)</f>
        <v>18.730587535581719</v>
      </c>
      <c r="J34" s="279">
        <v>205.81</v>
      </c>
      <c r="K34" s="284">
        <v>407.83</v>
      </c>
      <c r="L34" s="279">
        <v>356.89</v>
      </c>
      <c r="M34" s="279">
        <v>787.46</v>
      </c>
      <c r="N34" s="285">
        <v>100</v>
      </c>
      <c r="O34" s="286">
        <f t="shared" ref="O34:P37" si="5">L34-J34</f>
        <v>151.07999999999998</v>
      </c>
      <c r="P34" s="280">
        <f t="shared" si="5"/>
        <v>379.63000000000005</v>
      </c>
      <c r="Q34" s="280">
        <f t="shared" ref="Q34:Q37" si="6">((O34+P34)/O34)*(D34/(D34+H34))*C34</f>
        <v>10.538957105884869</v>
      </c>
      <c r="R34" s="287">
        <f t="shared" ref="R34:R37" si="7">$B$24/Q34*100</f>
        <v>60.012795294169038</v>
      </c>
      <c r="S34" s="288"/>
      <c r="T34" s="288"/>
      <c r="U34" s="199"/>
      <c r="V34" s="199"/>
      <c r="W34" s="199"/>
      <c r="X34" s="199"/>
      <c r="Y34" s="199"/>
      <c r="Z34" s="199"/>
      <c r="AA34" s="199"/>
      <c r="AB34" s="199"/>
      <c r="AC34" s="199"/>
      <c r="AD34" s="199"/>
      <c r="AE34" s="199"/>
      <c r="AF34" s="268"/>
      <c r="AG34" s="199"/>
      <c r="AH34" s="199"/>
      <c r="AI34" s="199"/>
      <c r="AJ34" s="199"/>
      <c r="AK34" s="199"/>
      <c r="AL34" s="199"/>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x14ac:dyDescent="0.25">
      <c r="A35" s="276">
        <v>3</v>
      </c>
      <c r="B35" s="277">
        <v>20.5</v>
      </c>
      <c r="C35" s="278">
        <f t="shared" si="2"/>
        <v>3.3800667353757263</v>
      </c>
      <c r="D35" s="279">
        <v>500.77</v>
      </c>
      <c r="E35" s="280">
        <f t="shared" si="1"/>
        <v>69.398056892489208</v>
      </c>
      <c r="F35" s="279">
        <v>73.66</v>
      </c>
      <c r="G35" s="279">
        <v>1</v>
      </c>
      <c r="H35" s="282">
        <f t="shared" si="3"/>
        <v>72.66</v>
      </c>
      <c r="I35" s="283">
        <f t="shared" si="4"/>
        <v>21.463569251046401</v>
      </c>
      <c r="J35" s="279">
        <v>204.53</v>
      </c>
      <c r="K35" s="284">
        <v>403.97</v>
      </c>
      <c r="L35" s="279">
        <v>359.85</v>
      </c>
      <c r="M35" s="279">
        <v>786.46</v>
      </c>
      <c r="N35" s="285">
        <v>100</v>
      </c>
      <c r="O35" s="286">
        <f t="shared" si="5"/>
        <v>155.32000000000002</v>
      </c>
      <c r="P35" s="280">
        <f t="shared" si="5"/>
        <v>382.49</v>
      </c>
      <c r="Q35" s="280">
        <f t="shared" si="6"/>
        <v>10.220794575073977</v>
      </c>
      <c r="R35" s="287">
        <f t="shared" si="7"/>
        <v>61.880930172683669</v>
      </c>
      <c r="S35" s="288"/>
      <c r="T35" s="288"/>
      <c r="U35" s="199"/>
      <c r="V35" s="199"/>
      <c r="W35" s="199"/>
      <c r="X35" s="199"/>
      <c r="Y35" s="199"/>
      <c r="Z35" s="199"/>
      <c r="AA35" s="199"/>
      <c r="AB35" s="199"/>
      <c r="AC35" s="199"/>
      <c r="AD35" s="199"/>
      <c r="AE35" s="199"/>
      <c r="AF35" s="268"/>
      <c r="AG35" s="199"/>
      <c r="AH35" s="199"/>
      <c r="AI35" s="199"/>
      <c r="AJ35" s="199"/>
      <c r="AK35" s="199"/>
      <c r="AL35" s="199"/>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x14ac:dyDescent="0.25">
      <c r="A36" s="276">
        <v>4</v>
      </c>
      <c r="B36" s="290">
        <v>22.5</v>
      </c>
      <c r="C36" s="278">
        <f t="shared" si="2"/>
        <v>3.3800667353757263</v>
      </c>
      <c r="D36" s="279">
        <v>500.8</v>
      </c>
      <c r="E36" s="280">
        <f t="shared" si="1"/>
        <v>76.173162117126779</v>
      </c>
      <c r="F36" s="279">
        <v>80.23</v>
      </c>
      <c r="G36" s="279">
        <v>0.89</v>
      </c>
      <c r="H36" s="282">
        <f t="shared" si="3"/>
        <v>79.34</v>
      </c>
      <c r="I36" s="283">
        <f t="shared" si="4"/>
        <v>23.43541938373367</v>
      </c>
      <c r="J36" s="279">
        <v>454.57</v>
      </c>
      <c r="K36" s="284">
        <v>397.21</v>
      </c>
      <c r="L36" s="279">
        <v>595.24</v>
      </c>
      <c r="M36" s="279">
        <v>800.92</v>
      </c>
      <c r="N36" s="285">
        <v>100</v>
      </c>
      <c r="O36" s="286">
        <f t="shared" si="5"/>
        <v>140.67000000000002</v>
      </c>
      <c r="P36" s="280">
        <f t="shared" si="5"/>
        <v>403.71</v>
      </c>
      <c r="Q36" s="280">
        <f t="shared" si="6"/>
        <v>11.29165130622351</v>
      </c>
      <c r="R36" s="287">
        <f t="shared" si="7"/>
        <v>56.012381028884874</v>
      </c>
      <c r="S36" s="288"/>
      <c r="T36" s="288"/>
      <c r="U36" s="199"/>
      <c r="V36" s="199"/>
      <c r="W36" s="199"/>
      <c r="X36" s="199"/>
      <c r="Y36" s="199"/>
      <c r="Z36" s="199"/>
      <c r="AA36" s="199"/>
      <c r="AB36" s="199"/>
      <c r="AC36" s="199"/>
      <c r="AD36" s="199"/>
      <c r="AE36" s="199"/>
      <c r="AF36" s="291"/>
      <c r="AG36" s="199"/>
      <c r="AH36" s="199"/>
      <c r="AI36" s="199"/>
      <c r="AJ36" s="199"/>
      <c r="AK36" s="199"/>
      <c r="AL36" s="199"/>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x14ac:dyDescent="0.25">
      <c r="A37" s="276">
        <v>5</v>
      </c>
      <c r="B37" s="277">
        <v>25</v>
      </c>
      <c r="C37" s="278">
        <f t="shared" si="2"/>
        <v>3.3800667353757263</v>
      </c>
      <c r="D37" s="279">
        <v>500.94</v>
      </c>
      <c r="E37" s="280">
        <f t="shared" si="1"/>
        <v>84.660507257174046</v>
      </c>
      <c r="F37" s="279">
        <v>89.46</v>
      </c>
      <c r="G37" s="279">
        <v>0.82</v>
      </c>
      <c r="H37" s="282">
        <f t="shared" si="3"/>
        <v>88.64</v>
      </c>
      <c r="I37" s="283">
        <f t="shared" si="4"/>
        <v>26.175132559369569</v>
      </c>
      <c r="J37" s="279">
        <v>449.02</v>
      </c>
      <c r="K37" s="284">
        <v>397.68</v>
      </c>
      <c r="L37" s="279">
        <v>605.79</v>
      </c>
      <c r="M37" s="279">
        <v>797.34</v>
      </c>
      <c r="N37" s="285">
        <v>100</v>
      </c>
      <c r="O37" s="286">
        <f t="shared" si="5"/>
        <v>156.76999999999998</v>
      </c>
      <c r="P37" s="280">
        <f>M37-K37</f>
        <v>399.66</v>
      </c>
      <c r="Q37" s="280">
        <f t="shared" si="6"/>
        <v>10.193323850050191</v>
      </c>
      <c r="R37" s="287">
        <f t="shared" si="7"/>
        <v>62.047697562987025</v>
      </c>
      <c r="S37" s="288"/>
      <c r="T37" s="288"/>
      <c r="U37" s="199"/>
      <c r="V37" s="199"/>
      <c r="W37" s="199"/>
      <c r="X37" s="199"/>
      <c r="Y37" s="199"/>
      <c r="Z37" s="199"/>
      <c r="AA37" s="199"/>
      <c r="AB37" s="199"/>
      <c r="AC37" s="199"/>
      <c r="AD37" s="199"/>
      <c r="AE37" s="199"/>
      <c r="AF37" s="199"/>
      <c r="AG37" s="199"/>
      <c r="AH37" s="199"/>
      <c r="AI37" s="199"/>
      <c r="AJ37" s="199"/>
      <c r="AK37" s="199"/>
      <c r="AL37" s="199"/>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x14ac:dyDescent="0.25">
      <c r="A38" s="276">
        <v>6</v>
      </c>
      <c r="B38" s="277"/>
      <c r="C38" s="278"/>
      <c r="D38" s="279"/>
      <c r="E38" s="280"/>
      <c r="F38" s="281"/>
      <c r="G38" s="281"/>
      <c r="H38" s="282"/>
      <c r="I38" s="283"/>
      <c r="J38" s="279"/>
      <c r="K38" s="284"/>
      <c r="L38" s="279"/>
      <c r="M38" s="279"/>
      <c r="N38" s="285"/>
      <c r="O38" s="286"/>
      <c r="P38" s="280"/>
      <c r="Q38" s="280"/>
      <c r="R38" s="287"/>
      <c r="S38" s="288"/>
      <c r="T38" s="288"/>
      <c r="U38" s="199"/>
      <c r="V38" s="199"/>
      <c r="W38" s="199"/>
      <c r="X38" s="199"/>
      <c r="Y38" s="199"/>
      <c r="Z38" s="199"/>
      <c r="AA38" s="199"/>
      <c r="AB38" s="199"/>
      <c r="AC38" s="199"/>
      <c r="AD38" s="199"/>
      <c r="AE38" s="199"/>
      <c r="AF38" s="199"/>
      <c r="AG38" s="199"/>
      <c r="AH38" s="199"/>
      <c r="AI38" s="199"/>
      <c r="AJ38" s="199"/>
      <c r="AK38" s="199"/>
      <c r="AL38" s="199"/>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
      <c r="A39" s="276">
        <v>7</v>
      </c>
      <c r="B39" s="277"/>
      <c r="C39" s="278"/>
      <c r="D39" s="279"/>
      <c r="E39" s="280"/>
      <c r="F39" s="281"/>
      <c r="G39" s="281"/>
      <c r="H39" s="282"/>
      <c r="I39" s="283"/>
      <c r="J39" s="279"/>
      <c r="K39" s="284"/>
      <c r="L39" s="279"/>
      <c r="M39" s="279"/>
      <c r="N39" s="285"/>
      <c r="O39" s="286"/>
      <c r="P39" s="280"/>
      <c r="Q39" s="280"/>
      <c r="R39" s="287"/>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25">
      <c r="A40" s="273" t="s">
        <v>56</v>
      </c>
      <c r="B40" s="273" t="s">
        <v>75</v>
      </c>
      <c r="C40" s="292" t="s">
        <v>76</v>
      </c>
      <c r="D40" s="528" t="s">
        <v>172</v>
      </c>
      <c r="E40" s="529"/>
      <c r="F40" s="529"/>
      <c r="G40" s="529"/>
      <c r="H40" s="530"/>
      <c r="I40" s="531" t="s">
        <v>78</v>
      </c>
      <c r="J40" s="532"/>
      <c r="K40" s="532"/>
      <c r="L40" s="532"/>
      <c r="M40" s="533"/>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25">
      <c r="A41" s="294">
        <v>1</v>
      </c>
      <c r="B41" s="295">
        <f>AVERAGE(D41:H41)</f>
        <v>128.6</v>
      </c>
      <c r="C41" s="295">
        <f t="shared" ref="C41:C45" si="8">AVERAGE(I41:K41)</f>
        <v>55.4</v>
      </c>
      <c r="D41" s="296">
        <v>128.6</v>
      </c>
      <c r="E41" s="297"/>
      <c r="F41" s="297"/>
      <c r="G41" s="297"/>
      <c r="H41" s="297"/>
      <c r="I41" s="296">
        <v>55.4</v>
      </c>
      <c r="J41" s="297"/>
      <c r="K41" s="297"/>
      <c r="L41" s="297"/>
      <c r="M41" s="297"/>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236"/>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x14ac:dyDescent="0.25">
      <c r="A42" s="294">
        <v>2</v>
      </c>
      <c r="B42" s="295">
        <f>AVERAGE(D42:H42)</f>
        <v>50.2</v>
      </c>
      <c r="C42" s="295">
        <f t="shared" si="8"/>
        <v>38.700000000000003</v>
      </c>
      <c r="D42" s="296">
        <v>50.2</v>
      </c>
      <c r="E42" s="297"/>
      <c r="F42" s="297"/>
      <c r="G42" s="297"/>
      <c r="H42" s="297"/>
      <c r="I42" s="296">
        <v>38.700000000000003</v>
      </c>
      <c r="J42" s="297"/>
      <c r="K42" s="297"/>
      <c r="L42" s="297"/>
      <c r="M42" s="297"/>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236"/>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x14ac:dyDescent="0.25">
      <c r="A43" s="294">
        <v>3</v>
      </c>
      <c r="B43" s="295">
        <f>AVERAGE(D43:H43)</f>
        <v>40.200000000000003</v>
      </c>
      <c r="C43" s="295">
        <f t="shared" si="8"/>
        <v>25.9</v>
      </c>
      <c r="D43" s="296">
        <v>40.200000000000003</v>
      </c>
      <c r="E43" s="297"/>
      <c r="F43" s="297"/>
      <c r="G43" s="297"/>
      <c r="H43" s="297"/>
      <c r="I43" s="296">
        <v>25.9</v>
      </c>
      <c r="J43" s="297"/>
      <c r="K43" s="297"/>
      <c r="L43" s="297"/>
      <c r="M43" s="297"/>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236"/>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25">
      <c r="A44" s="294">
        <v>4</v>
      </c>
      <c r="B44" s="295">
        <f>AVERAGE(D44)</f>
        <v>42.3</v>
      </c>
      <c r="C44" s="295">
        <f t="shared" si="8"/>
        <v>27.5</v>
      </c>
      <c r="D44" s="296">
        <v>42.3</v>
      </c>
      <c r="E44" s="297">
        <v>52.9</v>
      </c>
      <c r="F44" s="297"/>
      <c r="G44" s="297"/>
      <c r="H44" s="297"/>
      <c r="I44" s="296">
        <v>27.5</v>
      </c>
      <c r="J44" s="297"/>
      <c r="K44" s="297"/>
      <c r="L44" s="297"/>
      <c r="M44" s="297"/>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236"/>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25">
      <c r="A45" s="294">
        <v>5</v>
      </c>
      <c r="B45" s="295">
        <f>AVERAGE(D45:H45)</f>
        <v>40.6</v>
      </c>
      <c r="C45" s="295">
        <f t="shared" si="8"/>
        <v>34.6</v>
      </c>
      <c r="D45" s="296">
        <v>40.6</v>
      </c>
      <c r="E45" s="297"/>
      <c r="F45" s="297"/>
      <c r="G45" s="297"/>
      <c r="H45" s="297"/>
      <c r="I45" s="296">
        <v>34.6</v>
      </c>
      <c r="J45" s="297"/>
      <c r="K45" s="297"/>
      <c r="L45" s="297"/>
      <c r="M45" s="297"/>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236"/>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25">
      <c r="A46" s="294"/>
      <c r="B46" s="295"/>
      <c r="C46" s="295"/>
      <c r="D46" s="297"/>
      <c r="E46" s="297"/>
      <c r="F46" s="297"/>
      <c r="G46" s="297"/>
      <c r="H46" s="297"/>
      <c r="I46" s="297"/>
      <c r="J46" s="297"/>
      <c r="K46" s="297"/>
      <c r="L46" s="297"/>
      <c r="M46" s="297"/>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236"/>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25">
      <c r="A47" s="294"/>
      <c r="B47" s="295"/>
      <c r="C47" s="295"/>
      <c r="D47" s="297"/>
      <c r="E47" s="297"/>
      <c r="F47" s="297"/>
      <c r="G47" s="297"/>
      <c r="H47" s="297"/>
      <c r="I47" s="297"/>
      <c r="J47" s="297"/>
      <c r="K47" s="297"/>
      <c r="L47" s="297"/>
      <c r="M47" s="297"/>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236"/>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thickBot="1" x14ac:dyDescent="0.3">
      <c r="A48" s="294"/>
      <c r="B48" s="295"/>
      <c r="C48" s="295"/>
      <c r="D48" s="297"/>
      <c r="E48" s="297"/>
      <c r="F48" s="297"/>
      <c r="G48" s="297"/>
      <c r="H48" s="297"/>
      <c r="I48" s="297"/>
      <c r="J48" s="297"/>
      <c r="K48" s="297"/>
      <c r="L48" s="297"/>
      <c r="M48" s="297"/>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236"/>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25">
      <c r="A49" s="512" t="s">
        <v>82</v>
      </c>
      <c r="B49" s="513"/>
      <c r="C49" s="513"/>
      <c r="D49" s="513"/>
      <c r="E49" s="513"/>
      <c r="F49" s="513"/>
      <c r="G49" s="513"/>
      <c r="H49" s="513"/>
      <c r="I49" s="513"/>
      <c r="J49" s="513"/>
      <c r="K49" s="513"/>
      <c r="L49" s="513"/>
      <c r="M49" s="513"/>
      <c r="N49" s="514"/>
      <c r="O49" s="514"/>
      <c r="P49" s="514"/>
      <c r="Q49" s="176"/>
      <c r="R49" s="176"/>
      <c r="S49" s="176"/>
      <c r="T49" s="176"/>
      <c r="U49" s="176"/>
      <c r="V49" s="176"/>
      <c r="W49" s="176"/>
      <c r="X49" s="176"/>
      <c r="Y49" s="176"/>
      <c r="Z49" s="176"/>
      <c r="AA49" s="176"/>
      <c r="AB49" s="176"/>
      <c r="AC49" s="176"/>
      <c r="AD49" s="176"/>
      <c r="AE49" s="176"/>
      <c r="AF49" s="176"/>
      <c r="AG49" s="23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25">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76"/>
      <c r="V50" s="176"/>
      <c r="W50" s="176"/>
      <c r="X50" s="176"/>
      <c r="Y50" s="176"/>
      <c r="Z50" s="176"/>
      <c r="AA50" s="176"/>
      <c r="AB50" s="176"/>
      <c r="AC50" s="176"/>
      <c r="AD50" s="176"/>
      <c r="AE50" s="176"/>
      <c r="AF50" s="176"/>
      <c r="AG50" s="23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ht="16.5" thickBot="1" x14ac:dyDescent="0.3">
      <c r="A51" s="300">
        <v>1</v>
      </c>
      <c r="B51" s="301">
        <v>1.1248</v>
      </c>
      <c r="C51" s="301">
        <v>1.1104000000000001</v>
      </c>
      <c r="D51" s="302">
        <v>10</v>
      </c>
      <c r="E51" s="302">
        <v>10</v>
      </c>
      <c r="F51" s="303">
        <v>1.1316999999999999</v>
      </c>
      <c r="G51" s="303">
        <v>1.1177999999999999</v>
      </c>
      <c r="H51" s="302">
        <v>1</v>
      </c>
      <c r="I51" s="304">
        <f t="shared" ref="I51:I57" si="9">(F51-B51)*1000*H51/D51</f>
        <v>0.68999999999999062</v>
      </c>
      <c r="J51" s="304">
        <f t="shared" ref="J51:J57" si="10">(G51-C51)*1000*H51/E51</f>
        <v>0.73999999999998511</v>
      </c>
      <c r="K51" s="305">
        <f t="shared" ref="K51:K57" si="11">AVERAGE(I51:J51)</f>
        <v>0.71499999999998787</v>
      </c>
      <c r="L51" s="306"/>
      <c r="M51" s="306"/>
      <c r="N51" s="307">
        <f t="shared" ref="N51:N57" si="12">(F51-L51)/E51*1000000</f>
        <v>113170</v>
      </c>
      <c r="O51" s="308">
        <f t="shared" ref="O51:O57" si="13">(G51-M51)/E51*1000000</f>
        <v>111779.99999999999</v>
      </c>
      <c r="P51" s="309">
        <f>AVERAGE(O51)</f>
        <v>111779.99999999999</v>
      </c>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ht="21" customHeight="1" x14ac:dyDescent="0.25">
      <c r="A52" s="300">
        <v>2</v>
      </c>
      <c r="B52" s="310">
        <v>1.0996999999999999</v>
      </c>
      <c r="C52" s="310">
        <v>1.1113999999999999</v>
      </c>
      <c r="D52" s="302">
        <v>10</v>
      </c>
      <c r="E52" s="302">
        <v>10</v>
      </c>
      <c r="F52" s="303">
        <v>1.1053999999999999</v>
      </c>
      <c r="G52" s="303">
        <v>1.1168</v>
      </c>
      <c r="H52" s="302">
        <v>1</v>
      </c>
      <c r="I52" s="304">
        <f t="shared" si="9"/>
        <v>0.57000000000000384</v>
      </c>
      <c r="J52" s="304">
        <f t="shared" si="10"/>
        <v>0.54000000000000714</v>
      </c>
      <c r="K52" s="305">
        <f t="shared" si="11"/>
        <v>0.55500000000000549</v>
      </c>
      <c r="L52" s="306"/>
      <c r="M52" s="306"/>
      <c r="N52" s="307">
        <f t="shared" si="12"/>
        <v>110540</v>
      </c>
      <c r="O52" s="308">
        <f t="shared" si="13"/>
        <v>111680</v>
      </c>
      <c r="P52" s="309">
        <f>AVERAGE(N52:O52)</f>
        <v>111110</v>
      </c>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x14ac:dyDescent="0.25">
      <c r="A53" s="300">
        <v>3</v>
      </c>
      <c r="B53" s="301">
        <v>1.1148</v>
      </c>
      <c r="C53" s="301">
        <v>1.1156999999999999</v>
      </c>
      <c r="D53" s="302">
        <v>10</v>
      </c>
      <c r="E53" s="302">
        <v>10</v>
      </c>
      <c r="F53" s="303">
        <v>1.1202000000000001</v>
      </c>
      <c r="G53" s="303">
        <v>1.121</v>
      </c>
      <c r="H53" s="302">
        <v>1</v>
      </c>
      <c r="I53" s="304">
        <f t="shared" si="9"/>
        <v>0.54000000000000714</v>
      </c>
      <c r="J53" s="304">
        <f t="shared" si="10"/>
        <v>0.53000000000000824</v>
      </c>
      <c r="K53" s="305">
        <f t="shared" si="11"/>
        <v>0.53500000000000769</v>
      </c>
      <c r="L53" s="306"/>
      <c r="M53" s="306"/>
      <c r="N53" s="307">
        <f t="shared" si="12"/>
        <v>112020.00000000001</v>
      </c>
      <c r="O53" s="308">
        <f t="shared" si="13"/>
        <v>112100</v>
      </c>
      <c r="P53" s="309">
        <f>AVERAGE(N53:O53)</f>
        <v>112060</v>
      </c>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x14ac:dyDescent="0.25">
      <c r="A54" s="300">
        <v>4</v>
      </c>
      <c r="B54" s="311">
        <v>1.1249</v>
      </c>
      <c r="C54" s="311">
        <v>1.1103000000000001</v>
      </c>
      <c r="D54" s="302">
        <v>10</v>
      </c>
      <c r="E54" s="302">
        <v>10</v>
      </c>
      <c r="F54" s="312">
        <v>1.1292</v>
      </c>
      <c r="G54" s="301">
        <v>1.1145</v>
      </c>
      <c r="H54" s="302">
        <v>1</v>
      </c>
      <c r="I54" s="304">
        <f t="shared" si="9"/>
        <v>0.42999999999999705</v>
      </c>
      <c r="J54" s="304">
        <f t="shared" si="10"/>
        <v>0.41999999999999815</v>
      </c>
      <c r="K54" s="305">
        <f t="shared" si="11"/>
        <v>0.4249999999999976</v>
      </c>
      <c r="L54" s="306"/>
      <c r="M54" s="306"/>
      <c r="N54" s="307">
        <f t="shared" si="12"/>
        <v>112919.99999999999</v>
      </c>
      <c r="O54" s="308">
        <f t="shared" si="13"/>
        <v>111450.00000000001</v>
      </c>
      <c r="P54" s="309">
        <f>AVERAGE(O54)</f>
        <v>111450.00000000001</v>
      </c>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x14ac:dyDescent="0.25">
      <c r="A55" s="300">
        <v>5</v>
      </c>
      <c r="B55" s="301">
        <v>1.1157999999999999</v>
      </c>
      <c r="C55" s="301">
        <v>1.1178999999999999</v>
      </c>
      <c r="D55" s="302">
        <v>10</v>
      </c>
      <c r="E55" s="302">
        <v>10</v>
      </c>
      <c r="F55" s="277">
        <v>1.1192</v>
      </c>
      <c r="G55" s="303">
        <v>1.1212</v>
      </c>
      <c r="H55" s="302">
        <v>1</v>
      </c>
      <c r="I55" s="304">
        <f t="shared" si="9"/>
        <v>0.34000000000000696</v>
      </c>
      <c r="J55" s="304">
        <f t="shared" si="10"/>
        <v>0.33000000000000806</v>
      </c>
      <c r="K55" s="305">
        <f t="shared" si="11"/>
        <v>0.33500000000000751</v>
      </c>
      <c r="L55" s="296"/>
      <c r="M55" s="306"/>
      <c r="N55" s="307">
        <f t="shared" si="12"/>
        <v>111919.99999999999</v>
      </c>
      <c r="O55" s="308">
        <f t="shared" si="13"/>
        <v>112120</v>
      </c>
      <c r="P55" s="309">
        <f>AVERAGE(O55)</f>
        <v>112120</v>
      </c>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x14ac:dyDescent="0.25">
      <c r="A56" s="313">
        <v>6</v>
      </c>
      <c r="B56" s="301"/>
      <c r="C56" s="301"/>
      <c r="D56" s="302">
        <v>10</v>
      </c>
      <c r="E56" s="302">
        <v>10</v>
      </c>
      <c r="F56" s="303"/>
      <c r="G56" s="303"/>
      <c r="H56" s="302">
        <v>1</v>
      </c>
      <c r="I56" s="304">
        <f t="shared" si="9"/>
        <v>0</v>
      </c>
      <c r="J56" s="304">
        <f t="shared" si="10"/>
        <v>0</v>
      </c>
      <c r="K56" s="305">
        <f t="shared" si="11"/>
        <v>0</v>
      </c>
      <c r="L56" s="306"/>
      <c r="M56" s="306"/>
      <c r="N56" s="307">
        <f t="shared" si="12"/>
        <v>0</v>
      </c>
      <c r="O56" s="308">
        <f t="shared" si="13"/>
        <v>0</v>
      </c>
      <c r="P56" s="309"/>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thickBot="1" x14ac:dyDescent="0.3">
      <c r="A57" s="314" t="s">
        <v>104</v>
      </c>
      <c r="B57" s="301">
        <v>1.1153</v>
      </c>
      <c r="C57" s="301">
        <v>1.109</v>
      </c>
      <c r="D57" s="302">
        <v>10</v>
      </c>
      <c r="E57" s="302">
        <v>10</v>
      </c>
      <c r="F57" s="315">
        <v>1.1192</v>
      </c>
      <c r="G57" s="303">
        <v>1.1125</v>
      </c>
      <c r="H57" s="302">
        <v>1</v>
      </c>
      <c r="I57" s="304">
        <f t="shared" si="9"/>
        <v>0.39000000000000146</v>
      </c>
      <c r="J57" s="304">
        <f t="shared" si="10"/>
        <v>0.35000000000000586</v>
      </c>
      <c r="K57" s="305">
        <f t="shared" si="11"/>
        <v>0.37000000000000366</v>
      </c>
      <c r="L57" s="316"/>
      <c r="M57" s="316"/>
      <c r="N57" s="307">
        <f t="shared" si="12"/>
        <v>111919.99999999999</v>
      </c>
      <c r="O57" s="308">
        <f t="shared" si="13"/>
        <v>111250</v>
      </c>
      <c r="P57" s="309">
        <f>AVERAGE(O57)</f>
        <v>111250</v>
      </c>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x14ac:dyDescent="0.25">
      <c r="A58" s="176" t="s">
        <v>105</v>
      </c>
      <c r="B58" s="176"/>
      <c r="C58" s="317" t="s">
        <v>173</v>
      </c>
      <c r="D58" s="317"/>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5" thickBot="1" x14ac:dyDescent="0.3">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x14ac:dyDescent="0.25">
      <c r="A60" s="515" t="s">
        <v>107</v>
      </c>
      <c r="B60" s="516"/>
      <c r="C60" s="516"/>
      <c r="D60" s="516"/>
      <c r="E60" s="516"/>
      <c r="F60" s="516"/>
      <c r="G60" s="516"/>
      <c r="H60" s="516"/>
      <c r="I60" s="516"/>
      <c r="J60" s="516"/>
      <c r="K60" s="516"/>
      <c r="L60" s="516"/>
      <c r="M60" s="516"/>
      <c r="N60" s="516"/>
      <c r="O60" s="517"/>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x14ac:dyDescent="0.25">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ht="16.5" thickBot="1" x14ac:dyDescent="0.3">
      <c r="A62" s="300">
        <v>1</v>
      </c>
      <c r="B62" s="301">
        <v>0.98360000000000003</v>
      </c>
      <c r="C62" s="301">
        <v>1.0087999999999999</v>
      </c>
      <c r="D62" s="301">
        <v>6.3319000000000001</v>
      </c>
      <c r="E62" s="301">
        <v>5.0082000000000004</v>
      </c>
      <c r="F62" s="312">
        <v>2.6894</v>
      </c>
      <c r="G62" s="301">
        <v>2.2707000000000002</v>
      </c>
      <c r="H62" s="258">
        <f t="shared" ref="H62:I69" si="14">(F62-B62)*100/(D62-B62)</f>
        <v>31.894246770001679</v>
      </c>
      <c r="I62" s="258">
        <f t="shared" si="14"/>
        <v>31.552232834925242</v>
      </c>
      <c r="J62" s="321">
        <f>AVERAGE(H62:I62)</f>
        <v>31.723239802463461</v>
      </c>
      <c r="K62" s="306"/>
      <c r="L62" s="306"/>
      <c r="M62" s="321">
        <f>((F62-K62)/D62)*100</f>
        <v>42.473823023105226</v>
      </c>
      <c r="N62" s="322">
        <f>((G62-L62)/E62)*100</f>
        <v>45.339642985503772</v>
      </c>
      <c r="O62" s="323">
        <f>AVERAGE(M62:N62)</f>
        <v>43.906733004304499</v>
      </c>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x14ac:dyDescent="0.25">
      <c r="A63" s="300">
        <v>2</v>
      </c>
      <c r="B63" s="310">
        <v>0.98109999999999997</v>
      </c>
      <c r="C63" s="310">
        <v>0.99280000000000002</v>
      </c>
      <c r="D63" s="310">
        <v>6.3936999999999999</v>
      </c>
      <c r="E63" s="311">
        <v>5.766</v>
      </c>
      <c r="F63" s="310">
        <v>2.7258</v>
      </c>
      <c r="G63" s="301">
        <v>2.3895</v>
      </c>
      <c r="H63" s="258">
        <f t="shared" si="14"/>
        <v>32.234046484129621</v>
      </c>
      <c r="I63" s="258">
        <f t="shared" si="14"/>
        <v>29.261292214866341</v>
      </c>
      <c r="J63" s="321">
        <f t="shared" ref="J63:J69" si="15">AVERAGE(H63:I63)</f>
        <v>30.747669349497983</v>
      </c>
      <c r="K63" s="306"/>
      <c r="L63" s="306"/>
      <c r="M63" s="321">
        <f>((F63-K63)/D63)*100</f>
        <v>42.632591457215696</v>
      </c>
      <c r="N63" s="321">
        <f>((G63-L63)/E63)*100</f>
        <v>41.441207075962538</v>
      </c>
      <c r="O63" s="323">
        <f t="shared" ref="O63:O69" si="16">AVERAGE(M63:N63)</f>
        <v>42.036899266589117</v>
      </c>
      <c r="P63" s="176"/>
      <c r="Q63" s="176"/>
      <c r="R63" s="176"/>
      <c r="S63" s="176"/>
      <c r="T63" s="176"/>
      <c r="U63" s="176"/>
      <c r="V63" s="176"/>
      <c r="W63" s="176"/>
      <c r="X63" s="176"/>
      <c r="Y63" s="176"/>
      <c r="Z63" s="176"/>
      <c r="AA63" s="176"/>
      <c r="AB63" s="176"/>
      <c r="AC63" s="176"/>
      <c r="AD63" s="176"/>
      <c r="AE63" s="176"/>
      <c r="AF63" s="176"/>
      <c r="AG63" s="176"/>
      <c r="AH63" s="324"/>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x14ac:dyDescent="0.25">
      <c r="A64" s="300">
        <v>3</v>
      </c>
      <c r="B64" s="301">
        <v>0.9889</v>
      </c>
      <c r="C64" s="301">
        <v>0.97809999999999997</v>
      </c>
      <c r="D64" s="301">
        <v>6.2950999999999997</v>
      </c>
      <c r="E64" s="301">
        <v>5.343</v>
      </c>
      <c r="F64" s="325">
        <v>2.6526999999999998</v>
      </c>
      <c r="G64" s="311">
        <v>2.3502000000000001</v>
      </c>
      <c r="H64" s="258">
        <f t="shared" si="14"/>
        <v>31.355772492555875</v>
      </c>
      <c r="I64" s="258">
        <f t="shared" si="14"/>
        <v>31.434855323146003</v>
      </c>
      <c r="J64" s="321">
        <f t="shared" si="15"/>
        <v>31.395313907850941</v>
      </c>
      <c r="K64" s="306"/>
      <c r="L64" s="306"/>
      <c r="M64" s="321">
        <f>((F64-K64)/D65)*100</f>
        <v>41.884295954779418</v>
      </c>
      <c r="N64" s="322">
        <f>((G64-L64)/E63)*100</f>
        <v>40.759625390218524</v>
      </c>
      <c r="O64" s="323">
        <f t="shared" si="16"/>
        <v>41.321960672498975</v>
      </c>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x14ac:dyDescent="0.25">
      <c r="A65" s="300">
        <v>4</v>
      </c>
      <c r="B65" s="311">
        <v>0.99609999999999999</v>
      </c>
      <c r="C65" s="311">
        <v>0.99719999999999998</v>
      </c>
      <c r="D65" s="311">
        <v>6.3334000000000001</v>
      </c>
      <c r="E65" s="311">
        <v>6.5387000000000004</v>
      </c>
      <c r="F65" s="325">
        <v>2.6798000000000002</v>
      </c>
      <c r="G65" s="311">
        <v>2.7416</v>
      </c>
      <c r="H65" s="258">
        <f t="shared" si="14"/>
        <v>31.545912727408997</v>
      </c>
      <c r="I65" s="258">
        <f t="shared" si="14"/>
        <v>31.478841468916361</v>
      </c>
      <c r="J65" s="321">
        <f t="shared" si="15"/>
        <v>31.512377098162681</v>
      </c>
      <c r="K65" s="306"/>
      <c r="L65" s="306"/>
      <c r="M65" s="321" t="e">
        <f>((F65-K65)/D88)*100</f>
        <v>#DIV/0!</v>
      </c>
      <c r="N65" s="322">
        <f>((G65-L65)/E64)*100</f>
        <v>51.311997005427671</v>
      </c>
      <c r="O65" s="323" t="e">
        <f t="shared" si="16"/>
        <v>#DIV/0!</v>
      </c>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x14ac:dyDescent="0.25">
      <c r="A66" s="300">
        <v>5</v>
      </c>
      <c r="B66" s="301">
        <v>0.99919999999999998</v>
      </c>
      <c r="C66" s="301">
        <v>0.97699999999999998</v>
      </c>
      <c r="D66" s="301">
        <v>5.0515999999999996</v>
      </c>
      <c r="E66" s="301">
        <v>5.2270000000000003</v>
      </c>
      <c r="F66" s="311">
        <v>2.3043999999999998</v>
      </c>
      <c r="G66" s="301">
        <v>2.4001000000000001</v>
      </c>
      <c r="H66" s="258">
        <f t="shared" si="14"/>
        <v>32.208074227618198</v>
      </c>
      <c r="I66" s="258">
        <f t="shared" si="14"/>
        <v>33.484705882352948</v>
      </c>
      <c r="J66" s="321">
        <f t="shared" si="15"/>
        <v>32.846390054985577</v>
      </c>
      <c r="K66" s="306"/>
      <c r="L66" s="306"/>
      <c r="M66" s="321">
        <f t="shared" ref="M66:N69" si="17">((F66-K66)/D66)*100</f>
        <v>45.617230184496002</v>
      </c>
      <c r="N66" s="322">
        <f t="shared" si="17"/>
        <v>45.917352209680509</v>
      </c>
      <c r="O66" s="323">
        <f t="shared" si="16"/>
        <v>45.767291197088255</v>
      </c>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x14ac:dyDescent="0.25">
      <c r="A67" s="300">
        <v>6</v>
      </c>
      <c r="B67" s="301"/>
      <c r="C67" s="301"/>
      <c r="D67" s="301"/>
      <c r="E67" s="301"/>
      <c r="F67" s="312"/>
      <c r="G67" s="301"/>
      <c r="H67" s="258" t="e">
        <f t="shared" si="14"/>
        <v>#DIV/0!</v>
      </c>
      <c r="I67" s="258" t="e">
        <f t="shared" si="14"/>
        <v>#DIV/0!</v>
      </c>
      <c r="J67" s="321" t="e">
        <f t="shared" si="15"/>
        <v>#DIV/0!</v>
      </c>
      <c r="K67" s="306"/>
      <c r="L67" s="306"/>
      <c r="M67" s="321" t="e">
        <f t="shared" si="17"/>
        <v>#DIV/0!</v>
      </c>
      <c r="N67" s="322" t="e">
        <f t="shared" si="17"/>
        <v>#DIV/0!</v>
      </c>
      <c r="O67" s="323" t="e">
        <f t="shared" si="16"/>
        <v>#DIV/0!</v>
      </c>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x14ac:dyDescent="0.25">
      <c r="A68" s="326" t="s">
        <v>118</v>
      </c>
      <c r="B68" s="301">
        <v>1.0016</v>
      </c>
      <c r="C68" s="301">
        <v>0.99570000000000003</v>
      </c>
      <c r="D68" s="301">
        <v>6.6064999999999996</v>
      </c>
      <c r="E68" s="301">
        <v>5.4766000000000004</v>
      </c>
      <c r="F68" s="312">
        <v>2.7199</v>
      </c>
      <c r="G68" s="301">
        <v>2.3618000000000001</v>
      </c>
      <c r="H68" s="258">
        <f t="shared" si="14"/>
        <v>30.657103605773518</v>
      </c>
      <c r="I68" s="258">
        <f t="shared" si="14"/>
        <v>30.487178914950125</v>
      </c>
      <c r="J68" s="321">
        <f t="shared" si="15"/>
        <v>30.572141260361821</v>
      </c>
      <c r="K68" s="327"/>
      <c r="L68" s="327"/>
      <c r="M68" s="321">
        <f t="shared" si="17"/>
        <v>41.170059789601154</v>
      </c>
      <c r="N68" s="322">
        <f t="shared" si="17"/>
        <v>43.125296716941172</v>
      </c>
      <c r="O68" s="323">
        <f t="shared" si="16"/>
        <v>42.147678253271167</v>
      </c>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ht="16.5" thickBot="1" x14ac:dyDescent="0.3">
      <c r="A69" s="314" t="s">
        <v>119</v>
      </c>
      <c r="B69" s="328">
        <v>1.0042</v>
      </c>
      <c r="C69" s="328">
        <v>0.99329999999999996</v>
      </c>
      <c r="D69" s="328">
        <v>9.9281000000000006</v>
      </c>
      <c r="E69" s="328">
        <v>9.9210999999999991</v>
      </c>
      <c r="F69" s="328">
        <v>1.3044</v>
      </c>
      <c r="G69" s="328">
        <v>1.2965</v>
      </c>
      <c r="H69" s="258">
        <f t="shared" si="14"/>
        <v>3.3640000448234519</v>
      </c>
      <c r="I69" s="258">
        <f t="shared" si="14"/>
        <v>3.3961334259280007</v>
      </c>
      <c r="J69" s="321">
        <f t="shared" si="15"/>
        <v>3.3800667353757263</v>
      </c>
      <c r="K69" s="306"/>
      <c r="L69" s="329"/>
      <c r="M69" s="330">
        <f t="shared" si="17"/>
        <v>13.138465567429819</v>
      </c>
      <c r="N69" s="331">
        <f t="shared" si="17"/>
        <v>13.068107367126631</v>
      </c>
      <c r="O69" s="332">
        <f t="shared" si="16"/>
        <v>13.103286467278224</v>
      </c>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x14ac:dyDescent="0.25">
      <c r="A70" s="300"/>
      <c r="B70" s="301"/>
      <c r="C70" s="301"/>
      <c r="D70" s="301"/>
      <c r="E70" s="301"/>
      <c r="F70" s="312"/>
      <c r="G70" s="301"/>
      <c r="H70" s="321"/>
      <c r="I70" s="321"/>
      <c r="J70" s="321"/>
      <c r="K70" s="306"/>
      <c r="L70" s="306"/>
      <c r="M70" s="321"/>
      <c r="N70" s="322"/>
      <c r="O70" s="323"/>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x14ac:dyDescent="0.25">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x14ac:dyDescent="0.25">
      <c r="A72" s="333" t="s">
        <v>174</v>
      </c>
      <c r="B72" s="334"/>
      <c r="C72" s="334"/>
      <c r="D72" s="334"/>
      <c r="E72" s="334"/>
      <c r="F72" s="334"/>
      <c r="G72" s="334"/>
      <c r="H72" s="334"/>
      <c r="I72" s="334"/>
      <c r="J72" s="334"/>
      <c r="K72" s="334"/>
      <c r="L72" s="334"/>
      <c r="M72" s="334"/>
      <c r="N72" s="334"/>
      <c r="O72" s="334"/>
      <c r="P72" s="334"/>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5" thickBot="1" x14ac:dyDescent="0.3">
      <c r="A73" s="334"/>
      <c r="B73" s="334"/>
      <c r="C73" s="334"/>
      <c r="D73" s="334"/>
      <c r="E73" s="334"/>
      <c r="F73" s="334"/>
      <c r="G73" s="334"/>
      <c r="H73" s="334"/>
      <c r="I73" s="334"/>
      <c r="J73" s="334"/>
      <c r="K73" s="334"/>
      <c r="L73" s="334"/>
      <c r="M73" s="334"/>
      <c r="N73" s="334"/>
      <c r="O73" s="334"/>
      <c r="P73" s="334"/>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x14ac:dyDescent="0.25">
      <c r="A74" s="518" t="s">
        <v>82</v>
      </c>
      <c r="B74" s="514"/>
      <c r="C74" s="514"/>
      <c r="D74" s="514"/>
      <c r="E74" s="514"/>
      <c r="F74" s="514"/>
      <c r="G74" s="514"/>
      <c r="H74" s="514"/>
      <c r="I74" s="514"/>
      <c r="J74" s="514"/>
      <c r="K74" s="514"/>
      <c r="L74" s="514"/>
      <c r="M74" s="514"/>
      <c r="N74" s="514"/>
      <c r="O74" s="514"/>
      <c r="P74" s="514"/>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25">
      <c r="A75" s="271" t="s">
        <v>84</v>
      </c>
      <c r="B75" s="272" t="s">
        <v>175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76"/>
      <c r="V75" s="176"/>
      <c r="W75" s="176"/>
      <c r="X75" s="176"/>
      <c r="Y75" s="176"/>
      <c r="Z75" s="176"/>
      <c r="AA75" s="176"/>
      <c r="AB75" s="176"/>
      <c r="AC75" s="176"/>
      <c r="AD75" s="176"/>
      <c r="AE75" s="176"/>
      <c r="AF75" s="176"/>
      <c r="AG75" s="23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x14ac:dyDescent="0.25">
      <c r="A76" s="300">
        <v>1</v>
      </c>
      <c r="B76" s="336"/>
      <c r="C76" s="337"/>
      <c r="D76" s="302">
        <v>10</v>
      </c>
      <c r="E76" s="302">
        <v>10</v>
      </c>
      <c r="F76" s="277"/>
      <c r="G76" s="303"/>
      <c r="H76" s="302">
        <v>1</v>
      </c>
      <c r="I76" s="304">
        <f t="shared" ref="I76:I82" si="18">(F76-B76)*1000*H76/D76</f>
        <v>0</v>
      </c>
      <c r="J76" s="304">
        <f t="shared" ref="J76:J82" si="19">(G76-C76)*1000*H76/E76</f>
        <v>0</v>
      </c>
      <c r="K76" s="305">
        <f t="shared" ref="K76:K82" si="20">AVERAGE(I76:J76)</f>
        <v>0</v>
      </c>
      <c r="L76" s="337"/>
      <c r="M76" s="306"/>
      <c r="N76" s="307">
        <f t="shared" ref="N76:N82" si="21">(F76-L76)/E76*1000000</f>
        <v>0</v>
      </c>
      <c r="O76" s="308">
        <f>(G76-M76)/E76*1000000</f>
        <v>0</v>
      </c>
      <c r="P76" s="309">
        <f>AVERAGE(O76)</f>
        <v>0</v>
      </c>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25">
      <c r="A77" s="300">
        <v>2</v>
      </c>
      <c r="B77" s="338"/>
      <c r="C77" s="338"/>
      <c r="D77" s="302">
        <v>10</v>
      </c>
      <c r="E77" s="302">
        <v>10</v>
      </c>
      <c r="F77" s="303"/>
      <c r="G77" s="303"/>
      <c r="H77" s="302">
        <v>1</v>
      </c>
      <c r="I77" s="304">
        <f t="shared" si="18"/>
        <v>0</v>
      </c>
      <c r="J77" s="304">
        <f t="shared" si="19"/>
        <v>0</v>
      </c>
      <c r="K77" s="305">
        <f t="shared" si="20"/>
        <v>0</v>
      </c>
      <c r="L77" s="338"/>
      <c r="M77" s="306"/>
      <c r="N77" s="307">
        <f t="shared" si="21"/>
        <v>0</v>
      </c>
      <c r="O77" s="308">
        <f>(G77-M77)/E77*1000000</f>
        <v>0</v>
      </c>
      <c r="P77" s="309">
        <f>AVERAGE(N77:O77)</f>
        <v>0</v>
      </c>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x14ac:dyDescent="0.25">
      <c r="A78" s="300">
        <v>3</v>
      </c>
      <c r="B78" s="339"/>
      <c r="C78" s="340"/>
      <c r="D78" s="302">
        <v>10</v>
      </c>
      <c r="E78" s="302">
        <v>10</v>
      </c>
      <c r="F78" s="303"/>
      <c r="G78" s="303"/>
      <c r="H78" s="302">
        <v>1</v>
      </c>
      <c r="I78" s="304">
        <f t="shared" si="18"/>
        <v>0</v>
      </c>
      <c r="J78" s="304">
        <f t="shared" si="19"/>
        <v>0</v>
      </c>
      <c r="K78" s="305">
        <f t="shared" si="20"/>
        <v>0</v>
      </c>
      <c r="L78" s="306"/>
      <c r="M78" s="306"/>
      <c r="N78" s="307">
        <f t="shared" si="21"/>
        <v>0</v>
      </c>
      <c r="O78" s="308">
        <f>(G78-M78)/E78*1000000</f>
        <v>0</v>
      </c>
      <c r="P78" s="309">
        <f>AVERAGE(N78:O78)</f>
        <v>0</v>
      </c>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x14ac:dyDescent="0.25">
      <c r="A79" s="300">
        <v>4</v>
      </c>
      <c r="B79" s="277"/>
      <c r="C79" s="341"/>
      <c r="D79" s="302">
        <v>10</v>
      </c>
      <c r="E79" s="302">
        <v>10</v>
      </c>
      <c r="F79" s="277"/>
      <c r="G79" s="303"/>
      <c r="H79" s="302">
        <v>1</v>
      </c>
      <c r="I79" s="304">
        <f t="shared" si="18"/>
        <v>0</v>
      </c>
      <c r="J79" s="304">
        <f t="shared" si="19"/>
        <v>0</v>
      </c>
      <c r="K79" s="305">
        <f t="shared" si="20"/>
        <v>0</v>
      </c>
      <c r="L79" s="296"/>
      <c r="M79" s="306"/>
      <c r="N79" s="307">
        <f t="shared" si="21"/>
        <v>0</v>
      </c>
      <c r="O79" s="308">
        <f>(G79-M79)/E79*1000000</f>
        <v>0</v>
      </c>
      <c r="P79" s="309">
        <f>AVERAGE(O79)</f>
        <v>0</v>
      </c>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x14ac:dyDescent="0.25">
      <c r="A80" s="300">
        <v>5</v>
      </c>
      <c r="B80" s="336"/>
      <c r="C80" s="337"/>
      <c r="D80" s="302">
        <v>10</v>
      </c>
      <c r="E80" s="302">
        <v>10</v>
      </c>
      <c r="F80" s="277"/>
      <c r="G80" s="303"/>
      <c r="H80" s="302">
        <v>1</v>
      </c>
      <c r="I80" s="304">
        <f t="shared" si="18"/>
        <v>0</v>
      </c>
      <c r="J80" s="304">
        <f t="shared" si="19"/>
        <v>0</v>
      </c>
      <c r="K80" s="305">
        <f t="shared" si="20"/>
        <v>0</v>
      </c>
      <c r="L80" s="296"/>
      <c r="M80" s="306"/>
      <c r="N80" s="307">
        <f t="shared" si="21"/>
        <v>0</v>
      </c>
      <c r="O80" s="308">
        <f>(G80-M80)/E80*1000000</f>
        <v>0</v>
      </c>
      <c r="P80" s="309">
        <f>AVERAGE(O80)</f>
        <v>0</v>
      </c>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x14ac:dyDescent="0.25">
      <c r="A81" s="313">
        <v>6</v>
      </c>
      <c r="B81" s="340"/>
      <c r="C81" s="337"/>
      <c r="D81" s="302">
        <v>10</v>
      </c>
      <c r="E81" s="302">
        <v>10</v>
      </c>
      <c r="F81" s="303"/>
      <c r="G81" s="303"/>
      <c r="H81" s="302">
        <v>1</v>
      </c>
      <c r="I81" s="304">
        <f t="shared" si="18"/>
        <v>0</v>
      </c>
      <c r="J81" s="304">
        <f t="shared" si="19"/>
        <v>0</v>
      </c>
      <c r="K81" s="305">
        <f t="shared" si="20"/>
        <v>0</v>
      </c>
      <c r="L81" s="306"/>
      <c r="M81" s="306"/>
      <c r="N81" s="307">
        <f t="shared" si="21"/>
        <v>0</v>
      </c>
      <c r="O81" s="308"/>
      <c r="P81" s="309"/>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
      <c r="A82" s="314" t="s">
        <v>104</v>
      </c>
      <c r="B82" s="340"/>
      <c r="C82" s="340"/>
      <c r="D82" s="302">
        <v>10</v>
      </c>
      <c r="E82" s="302">
        <v>10</v>
      </c>
      <c r="F82" s="303"/>
      <c r="G82" s="315"/>
      <c r="H82" s="302">
        <v>1</v>
      </c>
      <c r="I82" s="304">
        <f t="shared" si="18"/>
        <v>0</v>
      </c>
      <c r="J82" s="304">
        <f t="shared" si="19"/>
        <v>0</v>
      </c>
      <c r="K82" s="305">
        <f t="shared" si="20"/>
        <v>0</v>
      </c>
      <c r="L82" s="306"/>
      <c r="M82" s="316"/>
      <c r="N82" s="307">
        <f t="shared" si="21"/>
        <v>0</v>
      </c>
      <c r="O82" s="308">
        <f>(G82-M82)/E82*1000000</f>
        <v>0</v>
      </c>
      <c r="P82" s="309">
        <f>AVERAGE(O82)</f>
        <v>0</v>
      </c>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x14ac:dyDescent="0.25">
      <c r="A83" s="318" t="s">
        <v>107</v>
      </c>
      <c r="B83" s="319"/>
      <c r="C83" s="319"/>
      <c r="D83" s="319"/>
      <c r="E83" s="319"/>
      <c r="F83" s="319"/>
      <c r="G83" s="319"/>
      <c r="H83" s="319"/>
      <c r="I83" s="319"/>
      <c r="J83" s="319"/>
      <c r="K83" s="319"/>
      <c r="L83" s="319"/>
      <c r="M83" s="319"/>
      <c r="N83" s="319"/>
      <c r="O83" s="320"/>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x14ac:dyDescent="0.25">
      <c r="A84" s="271" t="s">
        <v>84</v>
      </c>
      <c r="B84" s="272" t="s">
        <v>176</v>
      </c>
      <c r="C84" s="272" t="s">
        <v>109</v>
      </c>
      <c r="D84" s="272" t="s">
        <v>177</v>
      </c>
      <c r="E84" s="272" t="s">
        <v>111</v>
      </c>
      <c r="F84" s="272" t="s">
        <v>178</v>
      </c>
      <c r="G84" s="272" t="s">
        <v>90</v>
      </c>
      <c r="H84" s="272" t="s">
        <v>112</v>
      </c>
      <c r="I84" s="272" t="s">
        <v>113</v>
      </c>
      <c r="J84" s="272" t="s">
        <v>114</v>
      </c>
      <c r="K84" s="272" t="s">
        <v>95</v>
      </c>
      <c r="L84" s="272"/>
      <c r="M84" s="272" t="s">
        <v>115</v>
      </c>
      <c r="N84" s="272" t="s">
        <v>116</v>
      </c>
      <c r="O84" s="335" t="s">
        <v>117</v>
      </c>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x14ac:dyDescent="0.25">
      <c r="A85" s="300">
        <v>1</v>
      </c>
      <c r="B85" s="342"/>
      <c r="C85" s="342"/>
      <c r="D85" s="342"/>
      <c r="E85" s="312"/>
      <c r="F85" s="301"/>
      <c r="G85" s="301"/>
      <c r="H85" s="258" t="e">
        <f t="shared" ref="H85:I92" si="22">(F85-B85)*100/(D85-B85)</f>
        <v>#DIV/0!</v>
      </c>
      <c r="I85" s="258" t="e">
        <f t="shared" si="22"/>
        <v>#DIV/0!</v>
      </c>
      <c r="J85" s="321" t="e">
        <f>AVERAGE(H85:I85)</f>
        <v>#DIV/0!</v>
      </c>
      <c r="K85" s="306"/>
      <c r="L85" s="306"/>
      <c r="M85" s="321" t="e">
        <f>((F85-K85)/D85)*100</f>
        <v>#DIV/0!</v>
      </c>
      <c r="N85" s="322" t="e">
        <f>((G85-L85)/E85)*100</f>
        <v>#DIV/0!</v>
      </c>
      <c r="O85" s="323" t="e">
        <f t="shared" ref="O85:O92" si="23">AVERAGE(M85:N85)</f>
        <v>#DIV/0!</v>
      </c>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x14ac:dyDescent="0.25">
      <c r="A86" s="300">
        <v>2</v>
      </c>
      <c r="B86" s="342"/>
      <c r="C86" s="342"/>
      <c r="D86" s="342"/>
      <c r="E86" s="325"/>
      <c r="F86" s="301"/>
      <c r="G86" s="311"/>
      <c r="H86" s="258" t="e">
        <f t="shared" si="22"/>
        <v>#DIV/0!</v>
      </c>
      <c r="I86" s="258" t="e">
        <f t="shared" si="22"/>
        <v>#DIV/0!</v>
      </c>
      <c r="J86" s="321" t="e">
        <f>AVERAGE(I86)</f>
        <v>#DIV/0!</v>
      </c>
      <c r="K86" s="306"/>
      <c r="L86" s="306"/>
      <c r="M86" s="321" t="e">
        <f>((F86-K86)/D86)*100</f>
        <v>#DIV/0!</v>
      </c>
      <c r="N86" s="321" t="e">
        <f>((G86-L86)/E86)*100</f>
        <v>#DIV/0!</v>
      </c>
      <c r="O86" s="323" t="e">
        <f t="shared" si="23"/>
        <v>#DIV/0!</v>
      </c>
      <c r="P86" s="176"/>
      <c r="Q86" s="176"/>
      <c r="R86" s="176"/>
      <c r="S86" s="176"/>
      <c r="T86" s="176"/>
      <c r="U86" s="176"/>
      <c r="V86" s="176"/>
      <c r="W86" s="176"/>
      <c r="X86" s="176"/>
      <c r="Y86" s="176"/>
      <c r="Z86" s="176"/>
      <c r="AA86" s="176"/>
      <c r="AB86" s="176"/>
      <c r="AC86" s="176"/>
      <c r="AD86" s="176"/>
      <c r="AE86" s="176"/>
      <c r="AF86" s="176"/>
      <c r="AG86" s="176"/>
      <c r="AH86" s="324"/>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x14ac:dyDescent="0.25">
      <c r="A87" s="300">
        <v>3</v>
      </c>
      <c r="B87" s="342"/>
      <c r="C87" s="342"/>
      <c r="D87" s="342"/>
      <c r="E87" s="325"/>
      <c r="F87" s="301"/>
      <c r="G87" s="311"/>
      <c r="H87" s="258" t="e">
        <f t="shared" si="22"/>
        <v>#DIV/0!</v>
      </c>
      <c r="I87" s="258" t="e">
        <f>(G87-C88)*100/(E87-C88)</f>
        <v>#DIV/0!</v>
      </c>
      <c r="J87" s="321" t="e">
        <f t="shared" ref="J87:J92" si="24">AVERAGE(H87:I87)</f>
        <v>#DIV/0!</v>
      </c>
      <c r="K87" s="306"/>
      <c r="L87" s="306"/>
      <c r="M87" s="321" t="e">
        <f>((F87-K87)/#REF!)*100</f>
        <v>#REF!</v>
      </c>
      <c r="N87" s="322" t="e">
        <f>((G87-L87)/E86)*100</f>
        <v>#DIV/0!</v>
      </c>
      <c r="O87" s="323" t="e">
        <f t="shared" si="23"/>
        <v>#REF!</v>
      </c>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x14ac:dyDescent="0.25">
      <c r="A88" s="300">
        <v>4</v>
      </c>
      <c r="B88" s="342"/>
      <c r="C88" s="342"/>
      <c r="D88" s="342"/>
      <c r="E88" s="325"/>
      <c r="F88" s="301"/>
      <c r="G88" s="311"/>
      <c r="H88" s="258" t="e">
        <f t="shared" si="22"/>
        <v>#DIV/0!</v>
      </c>
      <c r="I88" s="258" t="e">
        <f>(G88-#REF!)*100/(E88-#REF!)</f>
        <v>#REF!</v>
      </c>
      <c r="J88" s="321" t="e">
        <f t="shared" si="24"/>
        <v>#DIV/0!</v>
      </c>
      <c r="K88" s="306"/>
      <c r="L88" s="306"/>
      <c r="M88" s="321" t="e">
        <f>((F88-K88)/#REF!)*100</f>
        <v>#REF!</v>
      </c>
      <c r="N88" s="322" t="e">
        <f>((G88-L88)/E88)*100</f>
        <v>#DIV/0!</v>
      </c>
      <c r="O88" s="323" t="e">
        <f t="shared" si="23"/>
        <v>#REF!</v>
      </c>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x14ac:dyDescent="0.25">
      <c r="A89" s="300">
        <v>5</v>
      </c>
      <c r="B89" s="342"/>
      <c r="C89" s="342"/>
      <c r="D89" s="342"/>
      <c r="E89" s="312"/>
      <c r="F89" s="301"/>
      <c r="G89" s="301"/>
      <c r="H89" s="258" t="e">
        <f t="shared" si="22"/>
        <v>#DIV/0!</v>
      </c>
      <c r="I89" s="258" t="e">
        <f t="shared" si="22"/>
        <v>#DIV/0!</v>
      </c>
      <c r="J89" s="321" t="e">
        <f t="shared" si="24"/>
        <v>#DIV/0!</v>
      </c>
      <c r="K89" s="306"/>
      <c r="L89" s="306"/>
      <c r="M89" s="321" t="e">
        <f>((F89-K89)/D89)*100</f>
        <v>#DIV/0!</v>
      </c>
      <c r="N89" s="322" t="e">
        <f>((G89-L89)/E89)*100</f>
        <v>#DIV/0!</v>
      </c>
      <c r="O89" s="323" t="e">
        <f t="shared" si="23"/>
        <v>#DIV/0!</v>
      </c>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x14ac:dyDescent="0.25">
      <c r="A90" s="300">
        <v>6</v>
      </c>
      <c r="B90" s="342"/>
      <c r="C90" s="342"/>
      <c r="D90" s="342"/>
      <c r="E90" s="312"/>
      <c r="F90" s="301"/>
      <c r="G90" s="301"/>
      <c r="H90" s="258" t="e">
        <f t="shared" si="22"/>
        <v>#DIV/0!</v>
      </c>
      <c r="I90" s="258" t="e">
        <f t="shared" si="22"/>
        <v>#DIV/0!</v>
      </c>
      <c r="J90" s="321" t="e">
        <f t="shared" si="24"/>
        <v>#DIV/0!</v>
      </c>
      <c r="K90" s="306"/>
      <c r="L90" s="306"/>
      <c r="M90" s="321" t="e">
        <f>((F90-K90)/D90)*100</f>
        <v>#DIV/0!</v>
      </c>
      <c r="N90" s="322" t="e">
        <f>((G90-L90)/E90)*100</f>
        <v>#DIV/0!</v>
      </c>
      <c r="O90" s="323" t="e">
        <f t="shared" si="23"/>
        <v>#DIV/0!</v>
      </c>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x14ac:dyDescent="0.25">
      <c r="A91" s="326" t="s">
        <v>118</v>
      </c>
      <c r="B91" s="343"/>
      <c r="C91" s="343"/>
      <c r="D91" s="343"/>
      <c r="E91" s="301"/>
      <c r="F91" s="301"/>
      <c r="G91" s="301"/>
      <c r="H91" s="258" t="e">
        <f t="shared" si="22"/>
        <v>#DIV/0!</v>
      </c>
      <c r="I91" s="258" t="e">
        <f t="shared" si="22"/>
        <v>#DIV/0!</v>
      </c>
      <c r="J91" s="321" t="e">
        <f t="shared" si="24"/>
        <v>#DIV/0!</v>
      </c>
      <c r="K91" s="306"/>
      <c r="L91" s="327"/>
      <c r="M91" s="321" t="e">
        <f>((F91-K91)/D91)*100</f>
        <v>#DIV/0!</v>
      </c>
      <c r="N91" s="322" t="e">
        <f>((G91-L91)/E91)*100</f>
        <v>#DIV/0!</v>
      </c>
      <c r="O91" s="323" t="e">
        <f t="shared" si="23"/>
        <v>#DIV/0!</v>
      </c>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x14ac:dyDescent="0.25">
      <c r="A92" s="344" t="s">
        <v>119</v>
      </c>
      <c r="B92" s="301"/>
      <c r="C92" s="301"/>
      <c r="D92" s="301"/>
      <c r="E92" s="301"/>
      <c r="F92" s="301"/>
      <c r="G92" s="301"/>
      <c r="H92" s="345" t="e">
        <f t="shared" si="22"/>
        <v>#DIV/0!</v>
      </c>
      <c r="I92" s="345" t="e">
        <f t="shared" si="22"/>
        <v>#DIV/0!</v>
      </c>
      <c r="J92" s="346" t="e">
        <f t="shared" si="24"/>
        <v>#DIV/0!</v>
      </c>
      <c r="K92" s="347"/>
      <c r="L92" s="347"/>
      <c r="M92" s="346" t="e">
        <f>((F92-K92)/D92)*100</f>
        <v>#DIV/0!</v>
      </c>
      <c r="N92" s="348" t="e">
        <f>((G92-L92)/E92)*100</f>
        <v>#DIV/0!</v>
      </c>
      <c r="O92" s="349" t="e">
        <f t="shared" si="23"/>
        <v>#DIV/0!</v>
      </c>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x14ac:dyDescent="0.25">
      <c r="A93" s="350"/>
      <c r="B93" s="351"/>
      <c r="C93" s="352"/>
      <c r="D93" s="353"/>
      <c r="E93" s="288"/>
      <c r="F93" s="352"/>
      <c r="G93" s="352"/>
      <c r="H93" s="354"/>
      <c r="I93" s="355"/>
      <c r="J93" s="356"/>
      <c r="K93" s="356"/>
      <c r="L93" s="356"/>
      <c r="M93" s="356"/>
      <c r="N93" s="288"/>
      <c r="O93" s="357"/>
      <c r="P93" s="288"/>
      <c r="Q93" s="288"/>
      <c r="R93" s="288"/>
      <c r="S93" s="288"/>
      <c r="T93" s="288"/>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x14ac:dyDescent="0.25">
      <c r="A94" s="176"/>
      <c r="B94" s="176"/>
      <c r="C94" s="358" t="s">
        <v>179</v>
      </c>
      <c r="D94" s="358"/>
      <c r="E94" s="358"/>
      <c r="F94" s="358"/>
      <c r="G94" s="358"/>
      <c r="H94" s="358"/>
      <c r="I94" s="358"/>
      <c r="J94" s="358"/>
      <c r="K94" s="358"/>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5" thickBot="1" x14ac:dyDescent="0.3">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363" t="s">
        <v>124</v>
      </c>
      <c r="AD96" s="364" t="s">
        <v>125</v>
      </c>
      <c r="AE96" s="361" t="s">
        <v>126</v>
      </c>
      <c r="AF96" s="364" t="s">
        <v>127</v>
      </c>
      <c r="AG96" s="361" t="s">
        <v>134</v>
      </c>
      <c r="AH96" s="36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x14ac:dyDescent="0.25">
      <c r="A97" s="378">
        <f>I33</f>
        <v>16.558496225443253</v>
      </c>
      <c r="B97" s="379">
        <f>C41</f>
        <v>55.4</v>
      </c>
      <c r="C97" s="379">
        <f>B41</f>
        <v>128.6</v>
      </c>
      <c r="D97" s="379">
        <f>J62</f>
        <v>31.723239802463461</v>
      </c>
      <c r="E97" s="380">
        <f>K51*1000</f>
        <v>714.99999999998784</v>
      </c>
      <c r="F97" s="381">
        <f>AVERAGE(B97)</f>
        <v>55.4</v>
      </c>
      <c r="G97" s="379">
        <f>(F97-B97)*100/F97</f>
        <v>0</v>
      </c>
      <c r="H97" s="379">
        <v>10</v>
      </c>
      <c r="I97" s="382"/>
      <c r="J97" s="365">
        <f>INDEX(A97:A101,MATCH(1,I97:I101,0))</f>
        <v>21.463569251046401</v>
      </c>
      <c r="K97" s="365">
        <f>INDEX(D97:D102,MATCH(1,I98:I102,0))</f>
        <v>30.747669349497983</v>
      </c>
      <c r="L97" s="365">
        <f>INDEX(E97:E102,MATCH(1,I98:I102,0))</f>
        <v>555.00000000000546</v>
      </c>
      <c r="M97" s="365">
        <f>J97</f>
        <v>21.463569251046401</v>
      </c>
      <c r="N97" s="365">
        <f>K97</f>
        <v>30.747669349497983</v>
      </c>
      <c r="O97" s="365">
        <f>L97</f>
        <v>555.00000000000546</v>
      </c>
      <c r="P97" s="383">
        <v>0</v>
      </c>
      <c r="Q97" s="384"/>
      <c r="R97" s="385">
        <f>AVERAGE(C97)</f>
        <v>128.6</v>
      </c>
      <c r="S97" s="386"/>
      <c r="T97" s="387"/>
      <c r="U97" s="388"/>
      <c r="V97" s="387">
        <f>INDEX(A97:A101,MATCH(1,U97:U101,0))</f>
        <v>21.463569251046401</v>
      </c>
      <c r="W97" s="387">
        <f>INDEX(D97:D101,MATCH(1,U97:U101,0))</f>
        <v>31.395313907850941</v>
      </c>
      <c r="X97" s="387">
        <f>INDEX(E97:E101,MATCH(1,U98:U101,0))</f>
        <v>555.00000000000546</v>
      </c>
      <c r="Y97" s="386">
        <f>IF(AB97=1,INDEX(A97:A101,MATCH(1,AX97:AX101,0)),V97)</f>
        <v>21.463569251046401</v>
      </c>
      <c r="Z97" s="386">
        <f>IF(AB97=1,INDEX(D97:D101,MATCH(1,AX97:AX101,0)),W97)</f>
        <v>31.395313907850941</v>
      </c>
      <c r="AA97" s="386">
        <f>IF(AB97=1,INDEX(E97:E101,MATCH(1,AX97:AX101,0)),X97)</f>
        <v>555.00000000000546</v>
      </c>
      <c r="AB97" s="389">
        <v>0</v>
      </c>
      <c r="AC97" s="390">
        <f>AVERAGE(D97)</f>
        <v>31.723239802463461</v>
      </c>
      <c r="AD97" s="391">
        <f>(AC97-D97)*100/AC97</f>
        <v>0</v>
      </c>
      <c r="AE97" s="391">
        <v>0</v>
      </c>
      <c r="AF97" s="391"/>
      <c r="AG97" s="391" t="e">
        <f>INDEX(A97:A101,MATCH(1,AF97:AF101,0))</f>
        <v>#N/A</v>
      </c>
      <c r="AH97" s="391" t="e">
        <f>INDEX(D97:D101,MATCH(1,AF97:AF101,0))</f>
        <v>#N/A</v>
      </c>
      <c r="AI97" s="391" t="e">
        <f>INDEX(E97:E101,MATCH(1,AF97:AF101,0))</f>
        <v>#N/A</v>
      </c>
      <c r="AJ97" s="392">
        <v>812</v>
      </c>
      <c r="AK97" s="393" t="e">
        <f>IF(AND(ISNUMBER(AG97), AG97&lt;AJ97), AI97,"")</f>
        <v>#N/A</v>
      </c>
      <c r="AL97" s="391"/>
      <c r="AM97" s="393" t="e">
        <f>IF((AJ97&gt;AK97),1,2)</f>
        <v>#N/A</v>
      </c>
      <c r="AN97" s="394">
        <f>IF(AQ97=1,INDEX(A97:A101,MATCH(1,AY97:AY101,0)),AG97)</f>
        <v>16.558496225443253</v>
      </c>
      <c r="AO97" s="391">
        <f>IF(AQ97=1,INDEX(D97:D101,MATCH(1,AY97:AY101,0)),AH97)</f>
        <v>31.723239802463461</v>
      </c>
      <c r="AP97" s="391">
        <f>IF(AQ97=1,INDEX(E97:E101,MATCH(1,AY97:AY101,0)),AI97)</f>
        <v>714.99999999998784</v>
      </c>
      <c r="AQ97" s="395">
        <v>1</v>
      </c>
      <c r="AR97" s="396"/>
      <c r="AS97" s="397">
        <f>D15</f>
        <v>23.372319597476352</v>
      </c>
      <c r="AT97" s="391">
        <f>J68</f>
        <v>30.572141260361821</v>
      </c>
      <c r="AU97" s="391">
        <f>K57*1000</f>
        <v>370.00000000000364</v>
      </c>
      <c r="AV97" s="391">
        <f>J69</f>
        <v>3.3800667353757263</v>
      </c>
      <c r="AW97" s="398"/>
      <c r="AX97" s="399"/>
      <c r="AY97" s="400">
        <v>1</v>
      </c>
    </row>
    <row r="98" spans="1:51" s="401" customFormat="1" x14ac:dyDescent="0.25">
      <c r="A98" s="378">
        <f>I34</f>
        <v>18.730587535581719</v>
      </c>
      <c r="B98" s="379">
        <f>C42</f>
        <v>38.700000000000003</v>
      </c>
      <c r="C98" s="379">
        <f>B42</f>
        <v>50.2</v>
      </c>
      <c r="D98" s="379">
        <f>J63</f>
        <v>30.747669349497983</v>
      </c>
      <c r="E98" s="380">
        <f>K52*1000</f>
        <v>555.00000000000546</v>
      </c>
      <c r="F98" s="381">
        <f>AVERAGE(B97:B98)</f>
        <v>47.05</v>
      </c>
      <c r="G98" s="379">
        <f>(F98-B98)*100/F98</f>
        <v>17.747077577045687</v>
      </c>
      <c r="H98" s="379">
        <v>10</v>
      </c>
      <c r="I98" s="365">
        <f>IF(AND(G97&gt;H97,G98&gt;H98),1,2)</f>
        <v>2</v>
      </c>
      <c r="J98" s="365"/>
      <c r="K98" s="365"/>
      <c r="L98" s="365"/>
      <c r="M98" s="382"/>
      <c r="N98" s="365"/>
      <c r="O98" s="365"/>
      <c r="P98" s="365"/>
      <c r="Q98" s="384"/>
      <c r="R98" s="385">
        <f>AVERAGE(C97:C98)</f>
        <v>89.4</v>
      </c>
      <c r="S98" s="386">
        <f>(R98-C98)*100/R98</f>
        <v>43.847874720357943</v>
      </c>
      <c r="T98" s="387">
        <v>10</v>
      </c>
      <c r="U98" s="402">
        <f>IF(AND(S97&gt;T97,S98&gt;T98),1,2)</f>
        <v>2</v>
      </c>
      <c r="V98" s="387"/>
      <c r="W98" s="387"/>
      <c r="X98" s="387"/>
      <c r="Y98" s="386"/>
      <c r="Z98" s="386"/>
      <c r="AA98" s="386"/>
      <c r="AB98" s="403"/>
      <c r="AC98" s="390">
        <f>AVERAGE(D97:D98)</f>
        <v>31.235454575980722</v>
      </c>
      <c r="AD98" s="391">
        <f>(AC98-D98)*100/AC98</f>
        <v>1.5616395954673683</v>
      </c>
      <c r="AE98" s="391">
        <v>1</v>
      </c>
      <c r="AF98" s="379">
        <f>IF(AND(AD97&gt;AE97,AD98&gt;AE98),1,2)</f>
        <v>2</v>
      </c>
      <c r="AG98" s="391"/>
      <c r="AH98" s="391"/>
      <c r="AI98" s="391"/>
      <c r="AJ98" s="391"/>
      <c r="AK98" s="391"/>
      <c r="AL98" s="391"/>
      <c r="AM98" s="391"/>
      <c r="AN98" s="391"/>
      <c r="AO98" s="391"/>
      <c r="AP98" s="391"/>
      <c r="AQ98" s="391"/>
      <c r="AR98" s="396"/>
      <c r="AS98" s="397"/>
      <c r="AT98" s="391"/>
      <c r="AU98" s="391"/>
      <c r="AV98" s="391"/>
      <c r="AW98" s="398"/>
      <c r="AX98" s="404"/>
      <c r="AY98" s="405"/>
    </row>
    <row r="99" spans="1:51" s="401" customFormat="1" x14ac:dyDescent="0.25">
      <c r="A99" s="378">
        <f>I35</f>
        <v>21.463569251046401</v>
      </c>
      <c r="B99" s="379">
        <f>C43</f>
        <v>25.9</v>
      </c>
      <c r="C99" s="379">
        <f>B43</f>
        <v>40.200000000000003</v>
      </c>
      <c r="D99" s="379">
        <f>J64</f>
        <v>31.395313907850941</v>
      </c>
      <c r="E99" s="380">
        <f>K53*1000</f>
        <v>535.00000000000773</v>
      </c>
      <c r="F99" s="381">
        <f>AVERAGE(B98:B99)</f>
        <v>32.299999999999997</v>
      </c>
      <c r="G99" s="379">
        <f>(F99-B99)*100/F99</f>
        <v>19.814241486068109</v>
      </c>
      <c r="H99" s="379">
        <v>10</v>
      </c>
      <c r="I99" s="365">
        <f>IF(AND(G98&gt;H98,G99&gt;H99,G100&lt;H100),1,2)</f>
        <v>1</v>
      </c>
      <c r="J99" s="365"/>
      <c r="K99" s="365"/>
      <c r="L99" s="365"/>
      <c r="M99" s="365"/>
      <c r="N99" s="365"/>
      <c r="O99" s="365"/>
      <c r="P99" s="365"/>
      <c r="Q99" s="384"/>
      <c r="R99" s="385">
        <f>AVERAGE(C98:C99)</f>
        <v>45.2</v>
      </c>
      <c r="S99" s="386">
        <f>(R99-C99)*100/R99</f>
        <v>11.061946902654867</v>
      </c>
      <c r="T99" s="387">
        <v>10</v>
      </c>
      <c r="U99" s="402">
        <f>IF(AND(S98&gt;T98,S99&gt;T99,S100&lt;T100),1,2)</f>
        <v>1</v>
      </c>
      <c r="V99" s="387"/>
      <c r="W99" s="387"/>
      <c r="X99" s="387"/>
      <c r="Y99" s="386"/>
      <c r="Z99" s="386"/>
      <c r="AA99" s="386"/>
      <c r="AB99" s="403"/>
      <c r="AC99" s="390">
        <f>AVERAGE(D98:D99)</f>
        <v>31.071491628674462</v>
      </c>
      <c r="AD99" s="391">
        <f>(AC99-D99)*100/AC99</f>
        <v>-1.0421845305863535</v>
      </c>
      <c r="AE99" s="391">
        <v>1</v>
      </c>
      <c r="AF99" s="379">
        <f>IF(AND(AD98&gt;AE98,AD99&gt;AE99,AD100&lt;AE100),1,2)</f>
        <v>2</v>
      </c>
      <c r="AG99" s="391"/>
      <c r="AH99" s="391"/>
      <c r="AI99" s="391"/>
      <c r="AJ99" s="391"/>
      <c r="AK99" s="391"/>
      <c r="AL99" s="391"/>
      <c r="AM99" s="391"/>
      <c r="AN99" s="391"/>
      <c r="AO99" s="391"/>
      <c r="AP99" s="391"/>
      <c r="AQ99" s="391"/>
      <c r="AR99" s="396"/>
      <c r="AS99" s="397"/>
      <c r="AT99" s="391"/>
      <c r="AU99" s="391"/>
      <c r="AV99" s="391"/>
      <c r="AW99" s="398"/>
      <c r="AX99" s="404"/>
      <c r="AY99" s="405"/>
    </row>
    <row r="100" spans="1:51" s="401" customFormat="1" x14ac:dyDescent="0.25">
      <c r="A100" s="378">
        <f>I36</f>
        <v>23.43541938373367</v>
      </c>
      <c r="B100" s="379">
        <f>C44</f>
        <v>27.5</v>
      </c>
      <c r="C100" s="379">
        <f>B44</f>
        <v>42.3</v>
      </c>
      <c r="D100" s="379">
        <f>J65</f>
        <v>31.512377098162681</v>
      </c>
      <c r="E100" s="380">
        <f>K54*1000</f>
        <v>424.99999999999761</v>
      </c>
      <c r="F100" s="381">
        <f>AVERAGE(B99:B100)</f>
        <v>26.7</v>
      </c>
      <c r="G100" s="379">
        <f>(F100-B100)*100/F100</f>
        <v>-2.996254681647943</v>
      </c>
      <c r="H100" s="379">
        <v>10</v>
      </c>
      <c r="I100" s="365">
        <f>IF(AND(G99&gt;H99,G100&gt;H100,G101&lt;H101),1,2)</f>
        <v>2</v>
      </c>
      <c r="J100" s="365"/>
      <c r="K100" s="365"/>
      <c r="L100" s="365"/>
      <c r="M100" s="365"/>
      <c r="N100" s="365"/>
      <c r="O100" s="365"/>
      <c r="P100" s="365"/>
      <c r="Q100" s="384"/>
      <c r="R100" s="385">
        <f>AVERAGE(C99:C100)</f>
        <v>41.25</v>
      </c>
      <c r="S100" s="386">
        <f>(R100-C100)*100/R100</f>
        <v>-2.5454545454545388</v>
      </c>
      <c r="T100" s="387">
        <v>10</v>
      </c>
      <c r="U100" s="402">
        <f>IF(AND(S99&gt;T99,S100&gt;T100,S101&lt;T101),1,2)</f>
        <v>2</v>
      </c>
      <c r="V100" s="387"/>
      <c r="W100" s="387"/>
      <c r="X100" s="387"/>
      <c r="Y100" s="386"/>
      <c r="Z100" s="386"/>
      <c r="AA100" s="386"/>
      <c r="AB100" s="403"/>
      <c r="AC100" s="390">
        <f>AVERAGE(D99:D100)</f>
        <v>31.453845503006811</v>
      </c>
      <c r="AD100" s="391">
        <f>(AC100-D100)*100/AC100</f>
        <v>-0.18608724694814985</v>
      </c>
      <c r="AE100" s="391">
        <v>1</v>
      </c>
      <c r="AF100" s="379">
        <f>IF(AND(AD99&gt;AE99,AD100&gt;AE100,AD101&lt;AE101),1,2)</f>
        <v>2</v>
      </c>
      <c r="AG100" s="391"/>
      <c r="AH100" s="391"/>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x14ac:dyDescent="0.25">
      <c r="A101" s="378">
        <f>I37</f>
        <v>26.175132559369569</v>
      </c>
      <c r="B101" s="379">
        <f>C45</f>
        <v>34.6</v>
      </c>
      <c r="C101" s="379">
        <f>B45</f>
        <v>40.6</v>
      </c>
      <c r="D101" s="379">
        <f>J66</f>
        <v>32.846390054985577</v>
      </c>
      <c r="E101" s="380">
        <f>K55*1000</f>
        <v>335.0000000000075</v>
      </c>
      <c r="F101" s="381">
        <f>AVERAGE(B100:B101)</f>
        <v>31.05</v>
      </c>
      <c r="G101" s="379">
        <f>(F101-B101)*100/F101</f>
        <v>-11.433172302737521</v>
      </c>
      <c r="H101" s="379">
        <v>10</v>
      </c>
      <c r="I101" s="365">
        <f>IF(AND(G100&gt;H100,G101&gt;H101),1,2)</f>
        <v>2</v>
      </c>
      <c r="J101" s="365"/>
      <c r="K101" s="365"/>
      <c r="L101" s="365"/>
      <c r="M101" s="365"/>
      <c r="N101" s="365"/>
      <c r="O101" s="365"/>
      <c r="P101" s="365"/>
      <c r="Q101" s="384"/>
      <c r="R101" s="385">
        <f>AVERAGE(C100:C101)</f>
        <v>41.45</v>
      </c>
      <c r="S101" s="386">
        <f>(R101-C101)*100/R101</f>
        <v>2.0506634499396896</v>
      </c>
      <c r="T101" s="387">
        <v>10</v>
      </c>
      <c r="U101" s="402">
        <f>IF(AND(S100&gt;T100,S101&gt;T101),1,2)</f>
        <v>2</v>
      </c>
      <c r="V101" s="387"/>
      <c r="W101" s="387"/>
      <c r="X101" s="387"/>
      <c r="Y101" s="386"/>
      <c r="Z101" s="386"/>
      <c r="AA101" s="386"/>
      <c r="AB101" s="403"/>
      <c r="AC101" s="390">
        <f>AVERAGE(D100:D101)</f>
        <v>32.179383576574125</v>
      </c>
      <c r="AD101" s="391">
        <f>(AC101-D101)*100/AC101</f>
        <v>-2.0727758094689466</v>
      </c>
      <c r="AE101" s="391">
        <v>1</v>
      </c>
      <c r="AF101" s="379">
        <f>IF(AND(AD100&gt;AE100,AD101&gt;AE101),1,2)</f>
        <v>2</v>
      </c>
      <c r="AG101" s="391"/>
      <c r="AH101" s="391"/>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45" customHeight="1" x14ac:dyDescent="0.25">
      <c r="A102" s="378"/>
      <c r="B102" s="379"/>
      <c r="C102" s="379"/>
      <c r="D102" s="379"/>
      <c r="E102" s="380"/>
      <c r="F102" s="381"/>
      <c r="G102" s="379"/>
      <c r="H102" s="379"/>
      <c r="I102" s="365"/>
      <c r="J102" s="365"/>
      <c r="K102" s="365"/>
      <c r="L102" s="365"/>
      <c r="M102" s="365"/>
      <c r="N102" s="365"/>
      <c r="O102" s="365"/>
      <c r="P102" s="365"/>
      <c r="Q102" s="384"/>
      <c r="R102" s="385"/>
      <c r="S102" s="386"/>
      <c r="T102" s="387"/>
      <c r="U102" s="387"/>
      <c r="V102" s="387"/>
      <c r="W102" s="387"/>
      <c r="X102" s="387"/>
      <c r="Y102" s="386"/>
      <c r="Z102" s="386"/>
      <c r="AA102" s="386"/>
      <c r="AB102" s="403"/>
      <c r="AC102" s="390"/>
      <c r="AD102" s="391"/>
      <c r="AE102" s="391"/>
      <c r="AF102" s="391"/>
      <c r="AG102" s="391"/>
      <c r="AH102" s="391"/>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45" customHeight="1" x14ac:dyDescent="0.25">
      <c r="A103" s="378"/>
      <c r="B103" s="379"/>
      <c r="C103" s="379"/>
      <c r="D103" s="379"/>
      <c r="E103" s="380"/>
      <c r="F103" s="381"/>
      <c r="G103" s="379"/>
      <c r="H103" s="379"/>
      <c r="I103" s="365"/>
      <c r="J103" s="365"/>
      <c r="K103" s="365"/>
      <c r="L103" s="365"/>
      <c r="M103" s="365"/>
      <c r="N103" s="365"/>
      <c r="O103" s="365"/>
      <c r="P103" s="365"/>
      <c r="Q103" s="384"/>
      <c r="R103" s="385"/>
      <c r="S103" s="386"/>
      <c r="T103" s="387"/>
      <c r="U103" s="387"/>
      <c r="V103" s="387"/>
      <c r="W103" s="387"/>
      <c r="X103" s="387"/>
      <c r="Y103" s="386"/>
      <c r="Z103" s="386"/>
      <c r="AA103" s="386"/>
      <c r="AB103" s="403"/>
      <c r="AC103" s="390"/>
      <c r="AD103" s="391"/>
      <c r="AE103" s="391"/>
      <c r="AF103" s="391"/>
      <c r="AG103" s="391"/>
      <c r="AH103" s="391"/>
      <c r="AI103" s="391"/>
      <c r="AJ103" s="391"/>
      <c r="AK103" s="391"/>
      <c r="AL103" s="391"/>
      <c r="AM103" s="391"/>
      <c r="AN103" s="391"/>
      <c r="AO103" s="391"/>
      <c r="AP103" s="391"/>
      <c r="AQ103" s="391"/>
      <c r="AR103" s="396"/>
      <c r="AS103" s="397"/>
      <c r="AT103" s="391"/>
      <c r="AU103" s="391"/>
      <c r="AV103" s="391"/>
      <c r="AW103" s="398"/>
      <c r="AX103" s="404"/>
      <c r="AY103" s="405"/>
    </row>
    <row r="108" spans="1:51" x14ac:dyDescent="0.25">
      <c r="I108" s="178" t="s">
        <v>185</v>
      </c>
    </row>
  </sheetData>
  <mergeCells count="22">
    <mergeCell ref="A23:C23"/>
    <mergeCell ref="AF23:AG23"/>
    <mergeCell ref="U5:AL7"/>
    <mergeCell ref="A6:D6"/>
    <mergeCell ref="V10:X11"/>
    <mergeCell ref="AI10:AK11"/>
    <mergeCell ref="V13:W13"/>
    <mergeCell ref="V14:W14"/>
    <mergeCell ref="AF16:AK17"/>
    <mergeCell ref="A17:C17"/>
    <mergeCell ref="AF18:AG20"/>
    <mergeCell ref="AF21:AG21"/>
    <mergeCell ref="AF22:AG22"/>
    <mergeCell ref="A49:P49"/>
    <mergeCell ref="A60:O60"/>
    <mergeCell ref="A74:P74"/>
    <mergeCell ref="AF24:AG24"/>
    <mergeCell ref="AF25:AG25"/>
    <mergeCell ref="A26:C26"/>
    <mergeCell ref="A31:R31"/>
    <mergeCell ref="D40:H40"/>
    <mergeCell ref="I40:M40"/>
  </mergeCells>
  <conditionalFormatting sqref="AI21">
    <cfRule type="cellIs" dxfId="37" priority="1" operator="lessThan">
      <formula>3</formula>
    </cfRule>
    <cfRule type="cellIs" dxfId="36" priority="2" operator="greaterThan">
      <formula>3.9</formula>
    </cfRule>
    <cfRule type="cellIs" dxfId="35" priority="3" operator="between">
      <formula>3</formula>
      <formula>3.9</formula>
    </cfRule>
    <cfRule type="cellIs" dxfId="34" priority="4" operator="between">
      <formula>3</formula>
      <formula>3.9</formula>
    </cfRule>
    <cfRule type="cellIs" dxfId="33" priority="8" operator="between">
      <formula>3.15</formula>
      <formula>3.85</formula>
    </cfRule>
  </conditionalFormatting>
  <conditionalFormatting sqref="AI25">
    <cfRule type="cellIs" dxfId="32" priority="7" operator="lessThan">
      <formula>812</formula>
    </cfRule>
  </conditionalFormatting>
  <conditionalFormatting sqref="AI25:AK25">
    <cfRule type="cellIs" dxfId="31" priority="5" operator="greaterThan">
      <formula>1000</formula>
    </cfRule>
  </conditionalFormatting>
  <conditionalFormatting sqref="AJ25:AK25">
    <cfRule type="cellIs" dxfId="30" priority="6" operator="lessThan">
      <formula>1000</formula>
    </cfRule>
  </conditionalFormatting>
  <printOptions horizontalCentered="1"/>
  <pageMargins left="0.25" right="0.25" top="0" bottom="0" header="0.3" footer="0.3"/>
  <pageSetup paperSize="9" scale="40" orientation="portrait"/>
  <rowBreaks count="4" manualBreakCount="4">
    <brk id="15" max="16383" man="1"/>
    <brk id="18" max="16383" man="1"/>
    <brk id="22" max="16383" man="1"/>
    <brk id="31" max="16383" man="1"/>
  </rowBreaks>
  <colBreaks count="3" manualBreakCount="3">
    <brk id="40" max="1048575" man="1"/>
    <brk id="44" max="1048575" man="1"/>
    <brk id="54" max="1048575" man="1"/>
  </col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A6C8-09FB-4BAA-A245-5416BD4861AB}">
  <sheetPr>
    <pageSetUpPr fitToPage="1"/>
  </sheetPr>
  <dimension ref="A1:BF108"/>
  <sheetViews>
    <sheetView view="pageBreakPreview" topLeftCell="A29" zoomScale="60" zoomScaleNormal="70" workbookViewId="0">
      <selection activeCell="B13" sqref="B13"/>
    </sheetView>
  </sheetViews>
  <sheetFormatPr defaultColWidth="8.7109375" defaultRowHeight="15.75" customHeight="1" outlineLevelRow="2" x14ac:dyDescent="0.25"/>
  <cols>
    <col min="1" max="1" width="39.42578125" style="178" customWidth="1"/>
    <col min="2" max="2" width="27.140625" style="178" customWidth="1"/>
    <col min="3" max="3" width="32.28515625" style="178" customWidth="1"/>
    <col min="4" max="4" width="22.28515625" style="178" bestFit="1" customWidth="1"/>
    <col min="5" max="5" width="23.28515625" style="178" bestFit="1" customWidth="1"/>
    <col min="6" max="6" width="25.85546875" style="178" bestFit="1" customWidth="1"/>
    <col min="7" max="8" width="16.85546875" style="178" bestFit="1" customWidth="1"/>
    <col min="9" max="9" width="18.42578125" style="178" customWidth="1"/>
    <col min="10" max="10" width="15.85546875" style="178" bestFit="1" customWidth="1"/>
    <col min="11" max="11" width="16.42578125" style="178" bestFit="1" customWidth="1"/>
    <col min="12" max="12" width="18.7109375" style="178" customWidth="1"/>
    <col min="13" max="13" width="17.28515625" style="178" bestFit="1" customWidth="1"/>
    <col min="14" max="14" width="36.5703125" style="178" bestFit="1" customWidth="1"/>
    <col min="15" max="15" width="11.140625" style="178" bestFit="1" customWidth="1"/>
    <col min="16" max="16" width="18.85546875" style="178" bestFit="1" customWidth="1"/>
    <col min="17" max="17" width="11.140625" style="178" bestFit="1" customWidth="1"/>
    <col min="18" max="18" width="11.85546875" style="178" bestFit="1" customWidth="1"/>
    <col min="19" max="21" width="11.7109375" style="178" customWidth="1"/>
    <col min="22" max="22" width="27.28515625" style="178" bestFit="1" customWidth="1"/>
    <col min="23" max="25" width="11.7109375" style="178" customWidth="1"/>
    <col min="26" max="26" width="21.28515625" style="178" customWidth="1"/>
    <col min="27" max="33" width="11.7109375" style="178" customWidth="1"/>
    <col min="34" max="34" width="17.7109375" style="178" bestFit="1" customWidth="1"/>
    <col min="35" max="35" width="11.7109375" style="178" customWidth="1"/>
    <col min="36" max="36" width="34.140625" style="178" bestFit="1" customWidth="1"/>
    <col min="37" max="37" width="14.7109375" style="178" bestFit="1" customWidth="1"/>
    <col min="38" max="38" width="11.7109375" style="178" customWidth="1"/>
    <col min="39" max="39" width="9.42578125" style="178" customWidth="1"/>
    <col min="40" max="40" width="8.28515625" style="178" bestFit="1" customWidth="1"/>
    <col min="41" max="41" width="7.42578125" style="178" bestFit="1" customWidth="1"/>
    <col min="42" max="43" width="9.28515625" style="178" bestFit="1" customWidth="1"/>
    <col min="44" max="44" width="8.42578125" style="178" bestFit="1" customWidth="1"/>
    <col min="45" max="64" width="9.28515625" style="178" bestFit="1" customWidth="1"/>
    <col min="65" max="65" width="8.7109375" style="178" customWidth="1"/>
    <col min="66" max="16383" width="8.7109375" style="178"/>
    <col min="16384" max="16384" width="8.7109375" style="178" bestFit="1" customWidth="1"/>
  </cols>
  <sheetData>
    <row r="1" spans="1:58" x14ac:dyDescent="0.25">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x14ac:dyDescent="0.25">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x14ac:dyDescent="0.25">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x14ac:dyDescent="0.25">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
      <c r="A5" s="179"/>
      <c r="B5" s="176"/>
      <c r="C5" s="176"/>
      <c r="D5" s="176"/>
      <c r="E5" s="176"/>
      <c r="F5" s="176"/>
      <c r="G5" s="176"/>
      <c r="H5" s="176"/>
      <c r="I5" s="176"/>
      <c r="J5" s="176"/>
      <c r="K5" s="176"/>
      <c r="L5" s="176"/>
      <c r="M5" s="176"/>
      <c r="N5" s="176"/>
      <c r="O5" s="176"/>
      <c r="P5" s="176"/>
      <c r="Q5" s="176"/>
      <c r="R5" s="176"/>
      <c r="S5" s="176"/>
      <c r="T5" s="176"/>
      <c r="U5" s="547" t="s">
        <v>186</v>
      </c>
      <c r="V5" s="547"/>
      <c r="W5" s="547"/>
      <c r="X5" s="547"/>
      <c r="Y5" s="547"/>
      <c r="Z5" s="547"/>
      <c r="AA5" s="547"/>
      <c r="AB5" s="547"/>
      <c r="AC5" s="547"/>
      <c r="AD5" s="547"/>
      <c r="AE5" s="547"/>
      <c r="AF5" s="547"/>
      <c r="AG5" s="547"/>
      <c r="AH5" s="547"/>
      <c r="AI5" s="547"/>
      <c r="AJ5" s="547"/>
      <c r="AK5" s="547"/>
      <c r="AL5" s="547"/>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
      <c r="A6" s="553" t="s">
        <v>4</v>
      </c>
      <c r="B6" s="553"/>
      <c r="C6" s="553"/>
      <c r="D6" s="553"/>
      <c r="E6" s="176"/>
      <c r="F6" s="181" t="s">
        <v>5</v>
      </c>
      <c r="G6" s="182"/>
      <c r="H6" s="182"/>
      <c r="I6" s="182"/>
      <c r="J6" s="182"/>
      <c r="K6" s="183"/>
      <c r="L6" s="183"/>
      <c r="M6" s="183"/>
      <c r="N6" s="176"/>
      <c r="O6" s="176"/>
      <c r="P6" s="176"/>
      <c r="Q6" s="176"/>
      <c r="R6" s="176"/>
      <c r="S6" s="176"/>
      <c r="T6" s="176"/>
      <c r="U6" s="547"/>
      <c r="V6" s="547"/>
      <c r="W6" s="547"/>
      <c r="X6" s="547"/>
      <c r="Y6" s="547"/>
      <c r="Z6" s="547"/>
      <c r="AA6" s="547"/>
      <c r="AB6" s="547"/>
      <c r="AC6" s="547"/>
      <c r="AD6" s="547"/>
      <c r="AE6" s="547"/>
      <c r="AF6" s="547"/>
      <c r="AG6" s="547"/>
      <c r="AH6" s="547"/>
      <c r="AI6" s="547"/>
      <c r="AJ6" s="547"/>
      <c r="AK6" s="547"/>
      <c r="AL6" s="547"/>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
      <c r="A7" s="184" t="s">
        <v>151</v>
      </c>
      <c r="B7" s="185">
        <v>0.33333333333333331</v>
      </c>
      <c r="C7" s="186"/>
      <c r="D7" s="187"/>
      <c r="E7" s="176"/>
      <c r="F7" s="188"/>
      <c r="G7" s="189"/>
      <c r="H7" s="189"/>
      <c r="I7" s="190"/>
      <c r="J7" s="191"/>
      <c r="K7" s="192" t="s">
        <v>152</v>
      </c>
      <c r="L7" s="192" t="s">
        <v>153</v>
      </c>
      <c r="M7" s="192" t="s">
        <v>154</v>
      </c>
      <c r="N7" s="176" t="s">
        <v>155</v>
      </c>
      <c r="O7" s="176"/>
      <c r="P7" s="176"/>
      <c r="Q7" s="176"/>
      <c r="R7" s="176"/>
      <c r="S7" s="176"/>
      <c r="T7" s="176"/>
      <c r="U7" s="547"/>
      <c r="V7" s="547"/>
      <c r="W7" s="547"/>
      <c r="X7" s="547"/>
      <c r="Y7" s="547"/>
      <c r="Z7" s="547"/>
      <c r="AA7" s="547"/>
      <c r="AB7" s="547"/>
      <c r="AC7" s="547"/>
      <c r="AD7" s="547"/>
      <c r="AE7" s="547"/>
      <c r="AF7" s="547"/>
      <c r="AG7" s="547"/>
      <c r="AH7" s="547"/>
      <c r="AI7" s="547"/>
      <c r="AJ7" s="547"/>
      <c r="AK7" s="547"/>
      <c r="AL7" s="547"/>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
      <c r="A8" s="193" t="s">
        <v>6</v>
      </c>
      <c r="B8" s="194" t="s">
        <v>187</v>
      </c>
      <c r="C8" s="186" t="s">
        <v>8</v>
      </c>
      <c r="D8" s="187">
        <f>D10*B11*8.34*10000</f>
        <v>489.09096</v>
      </c>
      <c r="E8" s="176"/>
      <c r="F8" s="195" t="s">
        <v>151</v>
      </c>
      <c r="G8" s="196">
        <f>B7</f>
        <v>0.33333333333333331</v>
      </c>
      <c r="H8" s="195"/>
      <c r="I8" s="195"/>
      <c r="J8" s="197"/>
      <c r="K8" s="198" t="s">
        <v>157</v>
      </c>
      <c r="L8" s="198">
        <v>1</v>
      </c>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
      <c r="A9" s="184" t="s">
        <v>10</v>
      </c>
      <c r="B9" s="194">
        <v>0.18</v>
      </c>
      <c r="C9" s="200" t="s">
        <v>11</v>
      </c>
      <c r="D9" s="201">
        <f>B9*B10</f>
        <v>16.29</v>
      </c>
      <c r="E9" s="176"/>
      <c r="F9" s="195"/>
      <c r="G9" s="202" t="s">
        <v>12</v>
      </c>
      <c r="H9" s="202" t="s">
        <v>13</v>
      </c>
      <c r="I9" s="202" t="s">
        <v>14</v>
      </c>
      <c r="J9" s="203" t="s">
        <v>15</v>
      </c>
      <c r="K9" s="198" t="s">
        <v>159</v>
      </c>
      <c r="L9" s="198">
        <v>0</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
      <c r="A10" s="184" t="s">
        <v>16</v>
      </c>
      <c r="B10" s="204">
        <v>90.5</v>
      </c>
      <c r="C10" s="200" t="s">
        <v>17</v>
      </c>
      <c r="D10" s="201">
        <f>D9*1440/1000000</f>
        <v>2.3457599999999999E-2</v>
      </c>
      <c r="E10" s="176"/>
      <c r="F10" s="195" t="s">
        <v>18</v>
      </c>
      <c r="G10" s="205" t="s">
        <v>19</v>
      </c>
      <c r="H10" s="206">
        <f>B13</f>
        <v>4.04</v>
      </c>
      <c r="I10" s="206"/>
      <c r="J10" s="207"/>
      <c r="K10" s="198" t="s">
        <v>160</v>
      </c>
      <c r="L10" s="198">
        <v>1</v>
      </c>
      <c r="M10" s="198"/>
      <c r="N10" s="176"/>
      <c r="O10" s="176"/>
      <c r="P10" s="176"/>
      <c r="Q10" s="176"/>
      <c r="R10" s="176"/>
      <c r="S10" s="176"/>
      <c r="T10" s="176"/>
      <c r="U10" s="199"/>
      <c r="V10" s="556" t="s">
        <v>161</v>
      </c>
      <c r="W10" s="556"/>
      <c r="X10" s="556"/>
      <c r="Y10" s="199"/>
      <c r="Z10" s="199"/>
      <c r="AA10" s="199"/>
      <c r="AB10" s="199"/>
      <c r="AC10" s="199"/>
      <c r="AD10" s="199"/>
      <c r="AE10" s="199"/>
      <c r="AF10" s="199"/>
      <c r="AG10" s="199"/>
      <c r="AH10" s="199"/>
      <c r="AI10" s="556" t="s">
        <v>81</v>
      </c>
      <c r="AJ10" s="556"/>
      <c r="AK10" s="556"/>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
      <c r="A11" s="184" t="s">
        <v>20</v>
      </c>
      <c r="B11" s="208">
        <v>0.25</v>
      </c>
      <c r="C11" s="200" t="s">
        <v>21</v>
      </c>
      <c r="D11" s="201">
        <f>B10*1440/1000000</f>
        <v>0.13031999999999999</v>
      </c>
      <c r="E11" s="176"/>
      <c r="F11" s="195" t="s">
        <v>22</v>
      </c>
      <c r="G11" s="205" t="s">
        <v>23</v>
      </c>
      <c r="H11" s="209">
        <f>B9</f>
        <v>0.18</v>
      </c>
      <c r="I11" s="209">
        <f>B9</f>
        <v>0.18</v>
      </c>
      <c r="J11" s="210">
        <f>B9</f>
        <v>0.18</v>
      </c>
      <c r="K11" s="198" t="s">
        <v>162</v>
      </c>
      <c r="L11" s="198">
        <v>0</v>
      </c>
      <c r="M11" s="198"/>
      <c r="N11" s="176"/>
      <c r="O11" s="176"/>
      <c r="P11" s="176"/>
      <c r="Q11" s="176"/>
      <c r="R11" s="176"/>
      <c r="S11" s="176"/>
      <c r="T11" s="176"/>
      <c r="U11" s="199"/>
      <c r="V11" s="556"/>
      <c r="W11" s="556"/>
      <c r="X11" s="556"/>
      <c r="Y11" s="199"/>
      <c r="Z11" s="199"/>
      <c r="AA11" s="199"/>
      <c r="AB11" s="199"/>
      <c r="AC11" s="199"/>
      <c r="AD11" s="199"/>
      <c r="AE11" s="199"/>
      <c r="AF11" s="199"/>
      <c r="AG11" s="199"/>
      <c r="AH11" s="199"/>
      <c r="AI11" s="556"/>
      <c r="AJ11" s="556"/>
      <c r="AK11" s="556"/>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35">
      <c r="A12" s="184" t="s">
        <v>24</v>
      </c>
      <c r="B12" s="211">
        <v>5.5</v>
      </c>
      <c r="C12" s="200" t="s">
        <v>25</v>
      </c>
      <c r="D12" s="201">
        <f>(B12/(1+(B15/B14)))</f>
        <v>3.2601809954751131</v>
      </c>
      <c r="E12" s="176"/>
      <c r="F12" s="195" t="s">
        <v>26</v>
      </c>
      <c r="G12" s="205" t="s">
        <v>27</v>
      </c>
      <c r="H12" s="212">
        <f>D15</f>
        <v>22.277227722772277</v>
      </c>
      <c r="I12" s="213">
        <f>Y97</f>
        <v>20.744218825378336</v>
      </c>
      <c r="J12" s="214">
        <f>AN97</f>
        <v>15.021158707057113</v>
      </c>
      <c r="K12" s="198" t="s">
        <v>163</v>
      </c>
      <c r="L12" s="198">
        <v>0</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35">
      <c r="A13" s="184" t="s">
        <v>28</v>
      </c>
      <c r="B13" s="221">
        <v>4.04</v>
      </c>
      <c r="C13" s="200" t="s">
        <v>29</v>
      </c>
      <c r="D13" s="201">
        <f>D11*D12*8.34*(10000/2000)</f>
        <v>17.716945031674204</v>
      </c>
      <c r="E13" s="176"/>
      <c r="F13" s="195" t="s">
        <v>30</v>
      </c>
      <c r="G13" s="205" t="s">
        <v>19</v>
      </c>
      <c r="H13" s="206">
        <f>AT97</f>
        <v>31.719704596772154</v>
      </c>
      <c r="I13" s="213">
        <f>Z97</f>
        <v>31.323443011935773</v>
      </c>
      <c r="J13" s="214">
        <f>AO97</f>
        <v>30.437451016274331</v>
      </c>
      <c r="K13" s="198"/>
      <c r="L13" s="198"/>
      <c r="M13" s="198"/>
      <c r="N13" s="176"/>
      <c r="O13" s="176"/>
      <c r="P13" s="176"/>
      <c r="Q13" s="176"/>
      <c r="R13" s="176"/>
      <c r="S13" s="176"/>
      <c r="T13" s="176"/>
      <c r="U13" s="199"/>
      <c r="V13" s="573" t="s">
        <v>164</v>
      </c>
      <c r="W13" s="573"/>
      <c r="X13" s="222">
        <f>B7</f>
        <v>0.33333333333333331</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35">
      <c r="A14" s="184" t="s">
        <v>31</v>
      </c>
      <c r="B14" s="226">
        <v>262</v>
      </c>
      <c r="C14" s="200" t="s">
        <v>32</v>
      </c>
      <c r="D14" s="201">
        <f>D8/D13</f>
        <v>27.605829285218604</v>
      </c>
      <c r="E14" s="176"/>
      <c r="F14" s="195" t="s">
        <v>33</v>
      </c>
      <c r="G14" s="205" t="s">
        <v>34</v>
      </c>
      <c r="H14" s="206">
        <f>AU97</f>
        <v>554.99999999999443</v>
      </c>
      <c r="I14" s="213">
        <f>AA97</f>
        <v>620.00000000000944</v>
      </c>
      <c r="J14" s="214">
        <f>AP97</f>
        <v>620.00000000000944</v>
      </c>
      <c r="K14" s="198"/>
      <c r="L14" s="198"/>
      <c r="M14" s="198"/>
      <c r="N14" s="176"/>
      <c r="O14" s="176"/>
      <c r="P14" s="176"/>
      <c r="Q14" s="176"/>
      <c r="R14" s="176"/>
      <c r="S14" s="176"/>
      <c r="T14" s="176"/>
      <c r="U14" s="227"/>
      <c r="V14" s="574" t="s">
        <v>165</v>
      </c>
      <c r="W14" s="574"/>
      <c r="X14" s="228" t="s">
        <v>157</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45">
      <c r="A15" s="232" t="s">
        <v>35</v>
      </c>
      <c r="B15" s="233">
        <v>180</v>
      </c>
      <c r="C15" s="234" t="s">
        <v>36</v>
      </c>
      <c r="D15" s="235">
        <f>((B9*B11)/B13)*2000</f>
        <v>22.277227722772277</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35">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534" t="s">
        <v>5</v>
      </c>
      <c r="AG16" s="534"/>
      <c r="AH16" s="534"/>
      <c r="AI16" s="534"/>
      <c r="AJ16" s="534"/>
      <c r="AK16" s="534"/>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35">
      <c r="A17" s="536" t="s">
        <v>37</v>
      </c>
      <c r="B17" s="536"/>
      <c r="C17" s="536"/>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534"/>
      <c r="AG17" s="534"/>
      <c r="AH17" s="534"/>
      <c r="AI17" s="534"/>
      <c r="AJ17" s="534"/>
      <c r="AK17" s="534"/>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9.5" outlineLevel="2" thickBot="1" x14ac:dyDescent="0.35">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539" t="s">
        <v>168</v>
      </c>
      <c r="AG18" s="539"/>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9.5" outlineLevel="2" thickBot="1" x14ac:dyDescent="0.35">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539"/>
      <c r="AG19" s="539"/>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75" outlineLevel="2" x14ac:dyDescent="0.3">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539"/>
      <c r="AG20" s="539"/>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75" outlineLevel="2" x14ac:dyDescent="0.3">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571" t="s">
        <v>18</v>
      </c>
      <c r="AG21" s="571"/>
      <c r="AH21" s="249" t="s">
        <v>19</v>
      </c>
      <c r="AI21" s="250">
        <f>H10</f>
        <v>4.04</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75" outlineLevel="2" x14ac:dyDescent="0.3">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571" t="s">
        <v>22</v>
      </c>
      <c r="AG22" s="571"/>
      <c r="AH22" s="249" t="s">
        <v>106</v>
      </c>
      <c r="AI22" s="254">
        <f>H11</f>
        <v>0.18</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75" outlineLevel="2" x14ac:dyDescent="0.3">
      <c r="A23" s="523" t="s">
        <v>170</v>
      </c>
      <c r="B23" s="523"/>
      <c r="C23" s="523"/>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571" t="s">
        <v>26</v>
      </c>
      <c r="AG23" s="571"/>
      <c r="AH23" s="249" t="s">
        <v>27</v>
      </c>
      <c r="AI23" s="256">
        <f>H12</f>
        <v>22.277227722772277</v>
      </c>
      <c r="AJ23" s="256">
        <f>I12</f>
        <v>20.744218825378336</v>
      </c>
      <c r="AK23" s="257">
        <f>J12</f>
        <v>15.021158707057113</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75" outlineLevel="2" x14ac:dyDescent="0.3">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571" t="s">
        <v>30</v>
      </c>
      <c r="AG24" s="571"/>
      <c r="AH24" s="249" t="s">
        <v>19</v>
      </c>
      <c r="AI24" s="251">
        <f>H13</f>
        <v>31.719704596772154</v>
      </c>
      <c r="AJ24" s="259">
        <f t="shared" ref="AJ24:AK25" si="0">I13</f>
        <v>31.323443011935773</v>
      </c>
      <c r="AK24" s="260">
        <f>J13</f>
        <v>30.437451016274331</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35">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572" t="s">
        <v>33</v>
      </c>
      <c r="AG25" s="572"/>
      <c r="AH25" s="261" t="s">
        <v>34</v>
      </c>
      <c r="AI25" s="262">
        <f>H14</f>
        <v>554.99999999999443</v>
      </c>
      <c r="AJ25" s="262">
        <f t="shared" si="0"/>
        <v>620.00000000000944</v>
      </c>
      <c r="AK25" s="263">
        <f t="shared" si="0"/>
        <v>620.00000000000944</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25">
      <c r="A26" s="523" t="s">
        <v>50</v>
      </c>
      <c r="B26" s="523"/>
      <c r="C26" s="523"/>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outlineLevel="2" x14ac:dyDescent="0.25">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5" outlineLevel="2" thickBot="1" x14ac:dyDescent="0.3">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406" t="s">
        <v>171</v>
      </c>
      <c r="AG28" s="407"/>
      <c r="AH28" s="407"/>
      <c r="AI28" s="407"/>
      <c r="AJ28" s="407"/>
      <c r="AK28" s="407"/>
      <c r="AL28" s="407"/>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x14ac:dyDescent="0.25">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408" t="s">
        <v>188</v>
      </c>
      <c r="AG29" s="407"/>
      <c r="AH29" s="407"/>
      <c r="AI29" s="407"/>
      <c r="AJ29" s="407"/>
      <c r="AK29" s="407"/>
      <c r="AL29" s="407"/>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5" thickBot="1" x14ac:dyDescent="0.3">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409" t="s">
        <v>189</v>
      </c>
      <c r="AG30" s="407"/>
      <c r="AH30" s="407"/>
      <c r="AI30" s="407"/>
      <c r="AJ30" s="407"/>
      <c r="AK30" s="407"/>
      <c r="AL30" s="407"/>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75" x14ac:dyDescent="0.3">
      <c r="A31" s="526" t="s">
        <v>55</v>
      </c>
      <c r="B31" s="526"/>
      <c r="C31" s="526"/>
      <c r="D31" s="526"/>
      <c r="E31" s="526"/>
      <c r="F31" s="526"/>
      <c r="G31" s="526"/>
      <c r="H31" s="526"/>
      <c r="I31" s="526"/>
      <c r="J31" s="526"/>
      <c r="K31" s="526"/>
      <c r="L31" s="526"/>
      <c r="M31" s="526"/>
      <c r="N31" s="526"/>
      <c r="O31" s="526"/>
      <c r="P31" s="526"/>
      <c r="Q31" s="526"/>
      <c r="R31" s="526"/>
      <c r="S31" s="269"/>
      <c r="T31" s="269"/>
      <c r="U31" s="199"/>
      <c r="V31" s="199"/>
      <c r="W31" s="199"/>
      <c r="X31" s="199"/>
      <c r="Y31" s="199"/>
      <c r="Z31" s="199"/>
      <c r="AA31" s="199"/>
      <c r="AB31" s="199"/>
      <c r="AC31" s="199"/>
      <c r="AD31" s="199"/>
      <c r="AE31" s="199"/>
      <c r="AF31" s="410" t="s">
        <v>190</v>
      </c>
      <c r="AG31" s="407"/>
      <c r="AH31" s="407"/>
      <c r="AI31" s="407"/>
      <c r="AJ31" s="407"/>
      <c r="AK31" s="411"/>
      <c r="AL31" s="407"/>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3" x14ac:dyDescent="0.25">
      <c r="A32" s="271" t="s">
        <v>56</v>
      </c>
      <c r="B32" s="272" t="s">
        <v>57</v>
      </c>
      <c r="C32" s="272" t="s">
        <v>58</v>
      </c>
      <c r="D32" s="272" t="s">
        <v>59</v>
      </c>
      <c r="E32" s="272" t="s">
        <v>60</v>
      </c>
      <c r="F32" s="273" t="s">
        <v>61</v>
      </c>
      <c r="G32" s="273"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409" t="s">
        <v>191</v>
      </c>
      <c r="AG32" s="407"/>
      <c r="AH32" s="407"/>
      <c r="AI32" s="407"/>
      <c r="AJ32" s="407"/>
      <c r="AK32" s="407"/>
      <c r="AL32" s="407"/>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x14ac:dyDescent="0.25">
      <c r="A33" s="276">
        <v>1</v>
      </c>
      <c r="B33" s="277">
        <v>12.5</v>
      </c>
      <c r="C33" s="278">
        <f>B13</f>
        <v>4.04</v>
      </c>
      <c r="D33" s="279">
        <v>500.49</v>
      </c>
      <c r="E33" s="280">
        <f t="shared" ref="E33:E39" si="1">(B33*D33*$B$20*C33)/($B$19*$B$27)</f>
        <v>50.54947551247232</v>
      </c>
      <c r="F33" s="281">
        <v>51.96</v>
      </c>
      <c r="G33" s="281">
        <v>1.01</v>
      </c>
      <c r="H33" s="282">
        <f>F33-G33</f>
        <v>50.95</v>
      </c>
      <c r="I33" s="283">
        <f t="shared" ref="I33:I39" si="2" xml:space="preserve"> (H33*$B$27*$B$19)/ (D33*$B$20*C33)</f>
        <v>12.599042691211718</v>
      </c>
      <c r="J33" s="279">
        <v>204.72</v>
      </c>
      <c r="K33" s="284">
        <v>399.08</v>
      </c>
      <c r="L33" s="279">
        <v>370.14</v>
      </c>
      <c r="M33" s="279">
        <v>739.65</v>
      </c>
      <c r="N33" s="285">
        <v>100</v>
      </c>
      <c r="O33" s="286">
        <f t="shared" ref="O33:P36" si="3">L33-J33</f>
        <v>165.42</v>
      </c>
      <c r="P33" s="280">
        <f>M33-K33</f>
        <v>340.57</v>
      </c>
      <c r="Q33" s="280">
        <f>((O33+P33)/O33)*(D33/(D33+H33))*C33</f>
        <v>11.215855915946332</v>
      </c>
      <c r="R33" s="287">
        <f>$B$24/Q33*100</f>
        <v>56.390905887999935</v>
      </c>
      <c r="S33" s="288"/>
      <c r="T33" s="288"/>
      <c r="U33" s="199"/>
      <c r="V33" s="199"/>
      <c r="W33" s="199"/>
      <c r="X33" s="199"/>
      <c r="Y33" s="199"/>
      <c r="Z33" s="199"/>
      <c r="AA33" s="199"/>
      <c r="AB33" s="199"/>
      <c r="AC33" s="199"/>
      <c r="AD33" s="199"/>
      <c r="AE33" s="199"/>
      <c r="AF33" s="407"/>
      <c r="AG33" s="407"/>
      <c r="AH33" s="407"/>
      <c r="AI33" s="407"/>
      <c r="AJ33" s="407"/>
      <c r="AK33" s="407"/>
      <c r="AL33" s="407"/>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x14ac:dyDescent="0.25">
      <c r="A34" s="276">
        <v>2</v>
      </c>
      <c r="B34" s="277">
        <v>15</v>
      </c>
      <c r="C34" s="278">
        <v>4.04</v>
      </c>
      <c r="D34" s="279">
        <v>501.85</v>
      </c>
      <c r="E34" s="280">
        <f t="shared" si="1"/>
        <v>60.824202567725784</v>
      </c>
      <c r="F34" s="279">
        <v>61.87</v>
      </c>
      <c r="G34" s="279">
        <v>0.96</v>
      </c>
      <c r="H34" s="282">
        <f>F34-G34</f>
        <v>60.91</v>
      </c>
      <c r="I34" s="283">
        <f t="shared" si="2"/>
        <v>15.021158707057113</v>
      </c>
      <c r="J34" s="279">
        <v>206.97</v>
      </c>
      <c r="K34" s="284">
        <v>401.08</v>
      </c>
      <c r="L34" s="279">
        <v>362.27</v>
      </c>
      <c r="M34" s="279">
        <v>761.48</v>
      </c>
      <c r="N34" s="285">
        <v>100</v>
      </c>
      <c r="O34" s="286">
        <f t="shared" si="3"/>
        <v>155.29999999999998</v>
      </c>
      <c r="P34" s="280">
        <f>M34-K34</f>
        <v>360.40000000000003</v>
      </c>
      <c r="Q34" s="280">
        <f>((O34+P34)/O34)*(D34/(D34+H34))*C34</f>
        <v>11.963486071796732</v>
      </c>
      <c r="R34" s="287">
        <f>$B$24/Q34*100</f>
        <v>52.866887762799827</v>
      </c>
      <c r="S34" s="288"/>
      <c r="T34" s="288"/>
      <c r="U34" s="199"/>
      <c r="V34" s="199"/>
      <c r="W34" s="199"/>
      <c r="X34" s="199"/>
      <c r="Y34" s="199"/>
      <c r="Z34" s="199"/>
      <c r="AA34" s="199"/>
      <c r="AB34" s="199"/>
      <c r="AC34" s="199"/>
      <c r="AD34" s="199"/>
      <c r="AE34" s="199"/>
      <c r="AF34" s="412" t="s">
        <v>192</v>
      </c>
      <c r="AG34" s="407"/>
      <c r="AH34" s="407"/>
      <c r="AI34" s="407"/>
      <c r="AJ34" s="407"/>
      <c r="AK34" s="407"/>
      <c r="AL34" s="407"/>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x14ac:dyDescent="0.25">
      <c r="A35" s="276">
        <v>3</v>
      </c>
      <c r="B35" s="413">
        <v>16</v>
      </c>
      <c r="C35" s="278">
        <v>4.04</v>
      </c>
      <c r="D35" s="414">
        <v>502.2</v>
      </c>
      <c r="E35" s="415">
        <f t="shared" si="1"/>
        <v>64.924397392606053</v>
      </c>
      <c r="F35" s="416">
        <v>65.69</v>
      </c>
      <c r="G35" s="416">
        <v>0.55000000000000004</v>
      </c>
      <c r="H35" s="417">
        <f t="shared" ref="H35" si="4">F35-G35</f>
        <v>65.14</v>
      </c>
      <c r="I35" s="418">
        <f t="shared" si="2"/>
        <v>16.05313321119398</v>
      </c>
      <c r="J35" s="414">
        <v>465.97</v>
      </c>
      <c r="K35" s="419">
        <v>405.85</v>
      </c>
      <c r="L35" s="414">
        <v>635.17999999999995</v>
      </c>
      <c r="M35" s="414">
        <v>768.35</v>
      </c>
      <c r="N35" s="420">
        <v>100</v>
      </c>
      <c r="O35" s="421">
        <f t="shared" si="3"/>
        <v>169.20999999999992</v>
      </c>
      <c r="P35" s="415">
        <f t="shared" si="3"/>
        <v>362.5</v>
      </c>
      <c r="Q35" s="415">
        <f t="shared" ref="Q35:Q36" si="5">((O35+P35)/O35)*(D35/(D35+H35))*C35</f>
        <v>11.237338725866838</v>
      </c>
      <c r="R35" s="422">
        <f t="shared" ref="R35" si="6">$B$24/Q35*100</f>
        <v>56.283101438744652</v>
      </c>
      <c r="S35" s="288"/>
      <c r="T35" s="288"/>
      <c r="U35" s="199"/>
      <c r="V35" s="199"/>
      <c r="W35" s="199"/>
      <c r="X35" s="199"/>
      <c r="Y35" s="199"/>
      <c r="Z35" s="199"/>
      <c r="AA35" s="199"/>
      <c r="AB35" s="199"/>
      <c r="AC35" s="199"/>
      <c r="AD35" s="199"/>
      <c r="AE35" s="199"/>
      <c r="AF35" s="423" t="s">
        <v>193</v>
      </c>
      <c r="AG35" s="407"/>
      <c r="AH35" s="407"/>
      <c r="AI35" s="407"/>
      <c r="AJ35" s="407"/>
      <c r="AK35" s="407"/>
      <c r="AL35" s="407"/>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x14ac:dyDescent="0.25">
      <c r="A36" s="276">
        <v>4</v>
      </c>
      <c r="B36" s="277">
        <v>17</v>
      </c>
      <c r="C36" s="278">
        <v>4.04</v>
      </c>
      <c r="D36" s="279">
        <v>500.51</v>
      </c>
      <c r="E36" s="287">
        <f t="shared" si="1"/>
        <v>68.750033896174997</v>
      </c>
      <c r="F36" s="279">
        <v>69.849999999999994</v>
      </c>
      <c r="G36" s="279">
        <v>0.96</v>
      </c>
      <c r="H36" s="424">
        <f>F36-G36</f>
        <v>68.89</v>
      </c>
      <c r="I36" s="283">
        <f t="shared" si="2"/>
        <v>17.034609783154703</v>
      </c>
      <c r="J36" s="279">
        <v>455.76</v>
      </c>
      <c r="K36" s="284">
        <v>355.15</v>
      </c>
      <c r="L36" s="279">
        <v>611.70000000000005</v>
      </c>
      <c r="M36" s="279">
        <v>724.52</v>
      </c>
      <c r="N36" s="285">
        <v>100</v>
      </c>
      <c r="O36" s="286">
        <f t="shared" si="3"/>
        <v>155.94000000000005</v>
      </c>
      <c r="P36" s="280">
        <f>M36-K36</f>
        <v>369.37</v>
      </c>
      <c r="Q36" s="280">
        <f t="shared" si="5"/>
        <v>11.962853922543404</v>
      </c>
      <c r="R36" s="287">
        <f>$B$24/Q36*100</f>
        <v>52.869681390795407</v>
      </c>
      <c r="S36" s="288"/>
      <c r="T36" s="288"/>
      <c r="U36" s="199"/>
      <c r="V36" s="199"/>
      <c r="W36" s="199"/>
      <c r="X36" s="199"/>
      <c r="Y36" s="199"/>
      <c r="Z36" s="199"/>
      <c r="AA36" s="199"/>
      <c r="AB36" s="199"/>
      <c r="AC36" s="199"/>
      <c r="AD36" s="199"/>
      <c r="AE36" s="199"/>
      <c r="AF36" s="423" t="s">
        <v>194</v>
      </c>
      <c r="AG36" s="407"/>
      <c r="AH36" s="407"/>
      <c r="AI36" s="407"/>
      <c r="AJ36" s="407"/>
      <c r="AK36" s="407"/>
      <c r="AL36" s="407"/>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x14ac:dyDescent="0.25">
      <c r="A37" s="276">
        <v>5</v>
      </c>
      <c r="B37" s="277">
        <v>19</v>
      </c>
      <c r="C37" s="278">
        <v>4.04</v>
      </c>
      <c r="D37" s="279">
        <v>501.35</v>
      </c>
      <c r="E37" s="287">
        <f t="shared" si="1"/>
        <v>76.967229941118816</v>
      </c>
      <c r="F37" s="279">
        <v>77.150000000000006</v>
      </c>
      <c r="G37" s="279">
        <v>1.31</v>
      </c>
      <c r="H37" s="424">
        <f>F37-G37</f>
        <v>75.84</v>
      </c>
      <c r="I37" s="283">
        <f t="shared" si="2"/>
        <v>18.721733926274311</v>
      </c>
      <c r="J37" s="279">
        <v>447.54</v>
      </c>
      <c r="K37" s="284">
        <v>684.7</v>
      </c>
      <c r="L37" s="279">
        <v>614.04999999999995</v>
      </c>
      <c r="M37" s="279">
        <v>1045.6500000000001</v>
      </c>
      <c r="N37" s="285">
        <v>100</v>
      </c>
      <c r="O37" s="286">
        <f>L37-J37</f>
        <v>166.50999999999993</v>
      </c>
      <c r="P37" s="280">
        <f>M37-K37</f>
        <v>360.95000000000005</v>
      </c>
      <c r="Q37" s="280">
        <f>((O37+P37)/O37)*(D37/(D37+H37))*C37</f>
        <v>11.116108978958529</v>
      </c>
      <c r="R37" s="287">
        <f>$B$24/Q37*100</f>
        <v>56.896912094572983</v>
      </c>
      <c r="S37" s="288"/>
      <c r="T37" s="288"/>
      <c r="U37" s="199"/>
      <c r="V37" s="199"/>
      <c r="W37" s="199"/>
      <c r="X37" s="199"/>
      <c r="Y37" s="199"/>
      <c r="Z37" s="199"/>
      <c r="AA37" s="199"/>
      <c r="AB37" s="199"/>
      <c r="AC37" s="199"/>
      <c r="AD37" s="199"/>
      <c r="AE37" s="199"/>
      <c r="AF37" s="425">
        <f>AI23-AJ23</f>
        <v>1.5330088973939411</v>
      </c>
      <c r="AG37" s="407" t="s">
        <v>195</v>
      </c>
      <c r="AH37" s="407"/>
      <c r="AI37" s="407"/>
      <c r="AJ37" s="407"/>
      <c r="AK37" s="407"/>
      <c r="AL37" s="407"/>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x14ac:dyDescent="0.25">
      <c r="A38" s="276">
        <v>6</v>
      </c>
      <c r="B38" s="277">
        <v>20.5</v>
      </c>
      <c r="C38" s="278">
        <v>4.04</v>
      </c>
      <c r="D38" s="279">
        <v>501.81</v>
      </c>
      <c r="E38" s="280">
        <f t="shared" si="1"/>
        <v>83.11978457779081</v>
      </c>
      <c r="F38" s="426">
        <v>85.21</v>
      </c>
      <c r="G38" s="426">
        <v>1.1000000000000001</v>
      </c>
      <c r="H38" s="282">
        <f t="shared" ref="H38:H39" si="7">F38-G38</f>
        <v>84.11</v>
      </c>
      <c r="I38" s="283">
        <f t="shared" si="2"/>
        <v>20.744218825378336</v>
      </c>
      <c r="J38" s="279">
        <v>411.5</v>
      </c>
      <c r="K38" s="284">
        <v>946.5</v>
      </c>
      <c r="L38" s="279">
        <v>553.74</v>
      </c>
      <c r="M38" s="279">
        <v>1337.12</v>
      </c>
      <c r="N38" s="285">
        <v>100</v>
      </c>
      <c r="O38" s="286">
        <f t="shared" ref="O38:P39" si="8">L38-J38</f>
        <v>142.24</v>
      </c>
      <c r="P38" s="280">
        <f t="shared" si="8"/>
        <v>390.61999999999989</v>
      </c>
      <c r="Q38" s="280">
        <f t="shared" ref="Q38:Q39" si="9">((O38+P38)/O38)*(D38/(D38+H38))*C38</f>
        <v>12.962051150826841</v>
      </c>
      <c r="R38" s="287">
        <f t="shared" ref="R38:R39" si="10">$B$24/Q38*100</f>
        <v>48.79415055920002</v>
      </c>
      <c r="S38" s="288"/>
      <c r="T38" s="288"/>
      <c r="U38" s="199"/>
      <c r="V38" s="199"/>
      <c r="W38" s="199"/>
      <c r="X38" s="199"/>
      <c r="Y38" s="199"/>
      <c r="Z38" s="199"/>
      <c r="AA38" s="199"/>
      <c r="AB38" s="199"/>
      <c r="AC38" s="199"/>
      <c r="AD38" s="199"/>
      <c r="AE38" s="199"/>
      <c r="AF38" s="407"/>
      <c r="AG38" s="407"/>
      <c r="AH38" s="407"/>
      <c r="AI38" s="407"/>
      <c r="AJ38" s="407"/>
      <c r="AK38" s="407"/>
      <c r="AL38" s="407"/>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
      <c r="A39" s="276">
        <v>7</v>
      </c>
      <c r="B39" s="277">
        <v>22.3</v>
      </c>
      <c r="C39" s="278">
        <v>4.04</v>
      </c>
      <c r="D39" s="279">
        <v>500.98</v>
      </c>
      <c r="E39" s="280">
        <f t="shared" si="1"/>
        <v>90.268554448946588</v>
      </c>
      <c r="F39" s="279">
        <v>92.95</v>
      </c>
      <c r="G39" s="279">
        <v>1.3</v>
      </c>
      <c r="H39" s="282">
        <f t="shared" si="7"/>
        <v>91.65</v>
      </c>
      <c r="I39" s="283">
        <f t="shared" si="2"/>
        <v>22.641273170668914</v>
      </c>
      <c r="J39" s="279">
        <v>454.75</v>
      </c>
      <c r="K39" s="284">
        <v>397.11</v>
      </c>
      <c r="L39" s="279">
        <v>618.39</v>
      </c>
      <c r="M39" s="279">
        <v>787.43</v>
      </c>
      <c r="N39" s="285">
        <v>100</v>
      </c>
      <c r="O39" s="286">
        <f t="shared" si="8"/>
        <v>163.63999999999999</v>
      </c>
      <c r="P39" s="280">
        <f t="shared" si="8"/>
        <v>390.31999999999994</v>
      </c>
      <c r="Q39" s="280">
        <f t="shared" si="9"/>
        <v>11.561310279394455</v>
      </c>
      <c r="R39" s="287">
        <f t="shared" si="10"/>
        <v>54.705933853945808</v>
      </c>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25">
      <c r="A40" s="273" t="s">
        <v>56</v>
      </c>
      <c r="B40" s="273" t="s">
        <v>75</v>
      </c>
      <c r="C40" s="292" t="s">
        <v>76</v>
      </c>
      <c r="D40" s="528" t="s">
        <v>172</v>
      </c>
      <c r="E40" s="528"/>
      <c r="F40" s="528"/>
      <c r="G40" s="528"/>
      <c r="H40" s="528"/>
      <c r="I40" s="531" t="s">
        <v>78</v>
      </c>
      <c r="J40" s="531"/>
      <c r="K40" s="531"/>
      <c r="L40" s="531"/>
      <c r="M40" s="531"/>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25">
      <c r="A41" s="294">
        <v>1</v>
      </c>
      <c r="B41" s="295">
        <f>AVERAGE(D41:H41)</f>
        <v>230.2</v>
      </c>
      <c r="C41" s="295" t="e">
        <f t="shared" ref="C41" si="11">AVERAGE(I41:K41)</f>
        <v>#DIV/0!</v>
      </c>
      <c r="D41" s="297">
        <v>230.2</v>
      </c>
      <c r="E41" s="297"/>
      <c r="F41" s="297"/>
      <c r="G41" s="297"/>
      <c r="H41" s="297"/>
      <c r="I41" s="296"/>
      <c r="J41" s="297"/>
      <c r="K41" s="297"/>
      <c r="L41" s="297"/>
      <c r="M41" s="297"/>
      <c r="N41" s="176"/>
      <c r="O41" s="176"/>
      <c r="P41" s="176"/>
      <c r="Q41" s="176"/>
      <c r="R41" s="176"/>
      <c r="S41" s="176"/>
      <c r="T41" s="176"/>
      <c r="U41" s="199"/>
      <c r="V41" s="199"/>
      <c r="W41" s="199"/>
      <c r="X41" s="199"/>
      <c r="Y41" s="199"/>
      <c r="Z41" s="199"/>
      <c r="AA41" s="199"/>
      <c r="AB41" s="199"/>
      <c r="AC41" s="199"/>
      <c r="AD41" s="199"/>
      <c r="AE41" s="199"/>
      <c r="AF41" s="199"/>
      <c r="AG41" s="199"/>
      <c r="AH41" s="199"/>
      <c r="AI41" s="199"/>
      <c r="AJ41" s="199"/>
      <c r="AK41" s="199"/>
      <c r="AL41" s="199"/>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x14ac:dyDescent="0.25">
      <c r="A42" s="294">
        <v>2</v>
      </c>
      <c r="B42" s="427">
        <f>D42</f>
        <v>201.6</v>
      </c>
      <c r="C42" s="295">
        <v>15</v>
      </c>
      <c r="D42" s="296">
        <v>201.6</v>
      </c>
      <c r="E42" s="297"/>
      <c r="F42" s="297"/>
      <c r="G42" s="297"/>
      <c r="H42" s="297"/>
      <c r="I42" s="296"/>
      <c r="J42" s="297"/>
      <c r="K42" s="297"/>
      <c r="L42" s="297"/>
      <c r="M42" s="297"/>
      <c r="N42" s="176"/>
      <c r="O42" s="176"/>
      <c r="P42" s="176"/>
      <c r="Q42" s="176"/>
      <c r="R42" s="176"/>
      <c r="S42" s="176"/>
      <c r="T42" s="176"/>
      <c r="U42" s="199"/>
      <c r="V42" s="199"/>
      <c r="W42" s="199"/>
      <c r="X42" s="199"/>
      <c r="Y42" s="199"/>
      <c r="Z42" s="199"/>
      <c r="AA42" s="199"/>
      <c r="AB42" s="199"/>
      <c r="AC42" s="199"/>
      <c r="AD42" s="199"/>
      <c r="AE42" s="199"/>
      <c r="AF42" s="199"/>
      <c r="AG42" s="199"/>
      <c r="AH42" s="199"/>
      <c r="AI42" s="199"/>
      <c r="AJ42" s="199"/>
      <c r="AK42" s="199"/>
      <c r="AL42" s="199"/>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x14ac:dyDescent="0.25">
      <c r="A43" s="294">
        <v>3</v>
      </c>
      <c r="B43" s="295">
        <f>D43</f>
        <v>95.4</v>
      </c>
      <c r="C43" s="295">
        <v>16</v>
      </c>
      <c r="D43" s="297">
        <v>95.4</v>
      </c>
      <c r="E43" s="297">
        <v>97.6</v>
      </c>
      <c r="F43" s="297"/>
      <c r="G43" s="297"/>
      <c r="H43" s="297"/>
      <c r="I43" s="296"/>
      <c r="J43" s="297"/>
      <c r="K43" s="297"/>
      <c r="L43" s="297"/>
      <c r="M43" s="297"/>
      <c r="N43" s="176"/>
      <c r="O43" s="176"/>
      <c r="P43" s="176"/>
      <c r="Q43" s="176"/>
      <c r="R43" s="176"/>
      <c r="S43" s="176"/>
      <c r="T43" s="176"/>
      <c r="U43" s="199"/>
      <c r="V43" s="199"/>
      <c r="W43" s="199"/>
      <c r="X43" s="199"/>
      <c r="Y43" s="199"/>
      <c r="Z43" s="199"/>
      <c r="AA43" s="199"/>
      <c r="AB43" s="199"/>
      <c r="AC43" s="199"/>
      <c r="AD43" s="199"/>
      <c r="AE43" s="199"/>
      <c r="AF43" s="199"/>
      <c r="AG43" s="199"/>
      <c r="AH43" s="199"/>
      <c r="AI43" s="199"/>
      <c r="AJ43" s="199"/>
      <c r="AK43" s="199"/>
      <c r="AL43" s="293"/>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25">
      <c r="A44" s="294">
        <v>4</v>
      </c>
      <c r="B44" s="295">
        <f>D44</f>
        <v>68.599999999999994</v>
      </c>
      <c r="C44" s="295">
        <v>17</v>
      </c>
      <c r="D44" s="296">
        <v>68.599999999999994</v>
      </c>
      <c r="E44" s="297"/>
      <c r="F44" s="297"/>
      <c r="G44" s="297"/>
      <c r="H44" s="297"/>
      <c r="I44" s="296"/>
      <c r="J44" s="297"/>
      <c r="K44" s="297"/>
      <c r="L44" s="297"/>
      <c r="M44" s="297"/>
      <c r="N44" s="176"/>
      <c r="O44" s="176"/>
      <c r="P44" s="176"/>
      <c r="Q44" s="176"/>
      <c r="R44" s="176"/>
      <c r="S44" s="176"/>
      <c r="T44" s="176"/>
      <c r="U44" s="199"/>
      <c r="V44" s="199"/>
      <c r="W44" s="199"/>
      <c r="X44" s="199"/>
      <c r="Y44" s="199"/>
      <c r="Z44" s="199"/>
      <c r="AA44" s="199"/>
      <c r="AB44" s="199"/>
      <c r="AC44" s="199"/>
      <c r="AD44" s="199"/>
      <c r="AE44" s="199"/>
      <c r="AF44" s="199"/>
      <c r="AG44" s="199"/>
      <c r="AH44" s="199"/>
      <c r="AI44" s="199"/>
      <c r="AJ44" s="199"/>
      <c r="AK44" s="199"/>
      <c r="AL44" s="199"/>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25">
      <c r="A45" s="294">
        <v>5</v>
      </c>
      <c r="B45" s="295">
        <f>E45</f>
        <v>55.2</v>
      </c>
      <c r="C45" s="295">
        <v>19</v>
      </c>
      <c r="D45" s="296"/>
      <c r="E45" s="297">
        <v>55.2</v>
      </c>
      <c r="F45" s="297">
        <v>54.8</v>
      </c>
      <c r="G45" s="297"/>
      <c r="H45" s="297"/>
      <c r="I45" s="296"/>
      <c r="J45" s="297"/>
      <c r="K45" s="297"/>
      <c r="L45" s="297"/>
      <c r="M45" s="297"/>
      <c r="N45" s="176"/>
      <c r="O45" s="176"/>
      <c r="P45" s="176"/>
      <c r="Q45" s="176"/>
      <c r="R45" s="176"/>
      <c r="S45" s="176"/>
      <c r="T45" s="176"/>
      <c r="U45" s="199"/>
      <c r="V45" s="199"/>
      <c r="W45" s="199"/>
      <c r="X45" s="199"/>
      <c r="Y45" s="199"/>
      <c r="Z45" s="199"/>
      <c r="AA45" s="199"/>
      <c r="AB45" s="199"/>
      <c r="AC45" s="199"/>
      <c r="AD45" s="199"/>
      <c r="AE45" s="199"/>
      <c r="AF45" s="199"/>
      <c r="AG45" s="199"/>
      <c r="AH45" s="199"/>
      <c r="AI45" s="199"/>
      <c r="AJ45" s="199"/>
      <c r="AK45" s="199"/>
      <c r="AL45" s="293"/>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25">
      <c r="A46" s="294">
        <v>6</v>
      </c>
      <c r="B46" s="295">
        <f>E46</f>
        <v>39.6</v>
      </c>
      <c r="C46" s="295">
        <v>20.5</v>
      </c>
      <c r="D46" s="296">
        <v>40.1</v>
      </c>
      <c r="E46" s="297">
        <v>39.6</v>
      </c>
      <c r="F46" s="297"/>
      <c r="G46" s="297"/>
      <c r="H46" s="297"/>
      <c r="I46" s="296"/>
      <c r="J46" s="297"/>
      <c r="K46" s="297"/>
      <c r="L46" s="297"/>
      <c r="M46" s="297"/>
      <c r="N46" s="176"/>
      <c r="O46" s="176"/>
      <c r="P46" s="176"/>
      <c r="Q46" s="176"/>
      <c r="R46" s="176"/>
      <c r="S46" s="176"/>
      <c r="T46" s="176"/>
      <c r="U46" s="199"/>
      <c r="V46" s="199"/>
      <c r="W46" s="199"/>
      <c r="X46" s="199"/>
      <c r="Y46" s="199"/>
      <c r="Z46" s="199"/>
      <c r="AA46" s="199"/>
      <c r="AB46" s="199"/>
      <c r="AC46" s="199"/>
      <c r="AD46" s="199"/>
      <c r="AE46" s="199"/>
      <c r="AF46" s="199"/>
      <c r="AG46" s="199"/>
      <c r="AH46" s="199"/>
      <c r="AI46" s="199"/>
      <c r="AJ46" s="199"/>
      <c r="AK46" s="199"/>
      <c r="AL46" s="199"/>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25">
      <c r="A47" s="294">
        <v>7</v>
      </c>
      <c r="B47" s="295">
        <f>D47</f>
        <v>43.3</v>
      </c>
      <c r="C47" s="295">
        <v>22.3</v>
      </c>
      <c r="D47" s="296">
        <v>43.3</v>
      </c>
      <c r="E47" s="297">
        <v>41.2</v>
      </c>
      <c r="F47" s="297"/>
      <c r="G47" s="297"/>
      <c r="H47" s="297"/>
      <c r="I47" s="297"/>
      <c r="J47" s="297"/>
      <c r="K47" s="297"/>
      <c r="L47" s="297"/>
      <c r="M47" s="297"/>
      <c r="N47" s="176"/>
      <c r="O47" s="176"/>
      <c r="P47" s="176"/>
      <c r="Q47" s="176"/>
      <c r="R47" s="176"/>
      <c r="S47" s="176"/>
      <c r="T47" s="176"/>
      <c r="U47" s="199"/>
      <c r="V47" s="199"/>
      <c r="W47" s="199"/>
      <c r="X47" s="199"/>
      <c r="Y47" s="199"/>
      <c r="Z47" s="199"/>
      <c r="AA47" s="199"/>
      <c r="AB47" s="199"/>
      <c r="AC47" s="199"/>
      <c r="AD47" s="199"/>
      <c r="AE47" s="199"/>
      <c r="AF47" s="199"/>
      <c r="AG47" s="199"/>
      <c r="AH47" s="199"/>
      <c r="AI47" s="199"/>
      <c r="AJ47" s="199"/>
      <c r="AK47" s="199"/>
      <c r="AL47" s="199"/>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x14ac:dyDescent="0.25">
      <c r="A48" s="294"/>
      <c r="B48" s="295"/>
      <c r="C48" s="295"/>
      <c r="D48" s="297"/>
      <c r="E48" s="297"/>
      <c r="F48" s="297"/>
      <c r="G48" s="297"/>
      <c r="H48" s="297"/>
      <c r="I48" s="297"/>
      <c r="J48" s="297"/>
      <c r="K48" s="297"/>
      <c r="L48" s="297"/>
      <c r="M48" s="297"/>
      <c r="N48" s="176"/>
      <c r="O48" s="176"/>
      <c r="P48" s="176"/>
      <c r="Q48" s="176"/>
      <c r="R48" s="176"/>
      <c r="S48" s="176"/>
      <c r="T48" s="176"/>
      <c r="U48" s="199"/>
      <c r="V48" s="199"/>
      <c r="W48" s="199"/>
      <c r="X48" s="199"/>
      <c r="Y48" s="199"/>
      <c r="Z48" s="199"/>
      <c r="AA48" s="199"/>
      <c r="AB48" s="199"/>
      <c r="AC48" s="199"/>
      <c r="AD48" s="199"/>
      <c r="AE48" s="199"/>
      <c r="AF48" s="199"/>
      <c r="AG48" s="199"/>
      <c r="AH48" s="199"/>
      <c r="AI48" s="199"/>
      <c r="AJ48" s="199"/>
      <c r="AK48" s="199"/>
      <c r="AL48" s="293"/>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25">
      <c r="A49" s="512" t="s">
        <v>82</v>
      </c>
      <c r="B49" s="512"/>
      <c r="C49" s="512"/>
      <c r="D49" s="512"/>
      <c r="E49" s="512"/>
      <c r="F49" s="512"/>
      <c r="G49" s="512"/>
      <c r="H49" s="512"/>
      <c r="I49" s="512"/>
      <c r="J49" s="512"/>
      <c r="K49" s="512"/>
      <c r="L49" s="512"/>
      <c r="M49" s="512"/>
      <c r="N49" s="512"/>
      <c r="O49" s="512"/>
      <c r="P49" s="512"/>
      <c r="Q49" s="176"/>
      <c r="R49" s="176"/>
      <c r="S49" s="176"/>
      <c r="T49" s="176"/>
      <c r="U49" s="199"/>
      <c r="V49" s="199"/>
      <c r="W49" s="199"/>
      <c r="X49" s="199"/>
      <c r="Y49" s="199"/>
      <c r="Z49" s="199"/>
      <c r="AA49" s="199"/>
      <c r="AB49" s="199"/>
      <c r="AC49" s="199"/>
      <c r="AD49" s="199"/>
      <c r="AE49" s="199"/>
      <c r="AF49" s="199"/>
      <c r="AG49" s="199"/>
      <c r="AH49" s="199"/>
      <c r="AI49" s="199"/>
      <c r="AJ49" s="199"/>
      <c r="AK49" s="199"/>
      <c r="AL49" s="199"/>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25">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99"/>
      <c r="V50" s="199"/>
      <c r="W50" s="199"/>
      <c r="X50" s="199"/>
      <c r="Y50" s="199"/>
      <c r="Z50" s="199"/>
      <c r="AA50" s="199"/>
      <c r="AB50" s="199"/>
      <c r="AC50" s="199"/>
      <c r="AD50" s="199"/>
      <c r="AE50" s="199"/>
      <c r="AF50" s="199"/>
      <c r="AG50" s="199"/>
      <c r="AH50" s="199"/>
      <c r="AI50" s="199"/>
      <c r="AJ50" s="199"/>
      <c r="AK50" s="199"/>
      <c r="AL50" s="293"/>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x14ac:dyDescent="0.25">
      <c r="A51" s="428">
        <v>1</v>
      </c>
      <c r="B51" s="429">
        <v>1.1198999999999999</v>
      </c>
      <c r="C51" s="429">
        <v>1.115</v>
      </c>
      <c r="D51" s="430">
        <v>10</v>
      </c>
      <c r="E51" s="431">
        <v>10</v>
      </c>
      <c r="F51" s="429">
        <v>1.129</v>
      </c>
      <c r="G51" s="429">
        <v>1.1240000000000001</v>
      </c>
      <c r="H51" s="430">
        <v>1</v>
      </c>
      <c r="I51" s="304">
        <f t="shared" ref="I51" si="12">(F51-B51)*1000*H51/D51</f>
        <v>0.9100000000000108</v>
      </c>
      <c r="J51" s="304">
        <f t="shared" ref="J51" si="13">(G51-C51)*1000*H51/E51</f>
        <v>0.9000000000000119</v>
      </c>
      <c r="K51" s="305">
        <f t="shared" ref="K51" si="14">AVERAGE(I51:J51)</f>
        <v>0.90500000000001135</v>
      </c>
      <c r="L51" s="296"/>
      <c r="M51" s="306"/>
      <c r="N51" s="307">
        <f t="shared" ref="N51" si="15">(F51-L51)/E51*1000000</f>
        <v>112900</v>
      </c>
      <c r="O51" s="308">
        <f t="shared" ref="O51" si="16">(G51-M51)/E51*1000000</f>
        <v>112400.00000000001</v>
      </c>
      <c r="P51" s="309">
        <f>AVERAGE(O51)</f>
        <v>112400.00000000001</v>
      </c>
      <c r="Q51" s="176"/>
      <c r="R51" s="176"/>
      <c r="S51" s="176"/>
      <c r="T51" s="176"/>
      <c r="U51" s="199"/>
      <c r="V51" s="199"/>
      <c r="W51" s="199"/>
      <c r="X51" s="199"/>
      <c r="Y51" s="199"/>
      <c r="Z51" s="199"/>
      <c r="AA51" s="199"/>
      <c r="AB51" s="199"/>
      <c r="AC51" s="199"/>
      <c r="AD51" s="199"/>
      <c r="AE51" s="199"/>
      <c r="AF51" s="199"/>
      <c r="AG51" s="199"/>
      <c r="AH51" s="199"/>
      <c r="AI51" s="199"/>
      <c r="AJ51" s="199"/>
      <c r="AK51" s="199"/>
      <c r="AL51" s="199"/>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x14ac:dyDescent="0.25">
      <c r="A52" s="428">
        <v>2</v>
      </c>
      <c r="B52" s="429">
        <v>1.1103000000000001</v>
      </c>
      <c r="C52" s="429">
        <v>1.0958000000000001</v>
      </c>
      <c r="D52" s="430">
        <v>10</v>
      </c>
      <c r="E52" s="431">
        <v>10</v>
      </c>
      <c r="F52" s="429">
        <v>1.1189</v>
      </c>
      <c r="G52" s="429">
        <v>1.1048</v>
      </c>
      <c r="H52" s="430">
        <v>1</v>
      </c>
      <c r="I52" s="304">
        <f>(F52-B52)*1000*H52/D52</f>
        <v>0.8599999999999941</v>
      </c>
      <c r="J52" s="304">
        <f>(G52-C52)*1000*H52/E52</f>
        <v>0.8999999999999897</v>
      </c>
      <c r="K52" s="305">
        <f>AVERAGE(I52:J52)</f>
        <v>0.8799999999999919</v>
      </c>
      <c r="L52" s="306"/>
      <c r="M52" s="306"/>
      <c r="N52" s="307">
        <f>(F52-L52)/E52*1000000</f>
        <v>111890</v>
      </c>
      <c r="O52" s="308">
        <f>(G52-M52)/E52*1000000</f>
        <v>110480</v>
      </c>
      <c r="P52" s="309">
        <f>AVERAGE(N52:O52)</f>
        <v>111185</v>
      </c>
      <c r="Q52" s="176"/>
      <c r="R52" s="176"/>
      <c r="S52" s="176"/>
      <c r="T52" s="176"/>
      <c r="U52" s="199"/>
      <c r="V52" s="199"/>
      <c r="W52" s="199"/>
      <c r="X52" s="199"/>
      <c r="Y52" s="199"/>
      <c r="Z52" s="199"/>
      <c r="AA52" s="199"/>
      <c r="AB52" s="199"/>
      <c r="AC52" s="199"/>
      <c r="AD52" s="199"/>
      <c r="AE52" s="199"/>
      <c r="AF52" s="199"/>
      <c r="AG52" s="199"/>
      <c r="AH52" s="199"/>
      <c r="AI52" s="199"/>
      <c r="AJ52" s="199"/>
      <c r="AK52" s="199"/>
      <c r="AL52" s="293"/>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x14ac:dyDescent="0.25">
      <c r="A53" s="432">
        <v>3</v>
      </c>
      <c r="B53" s="433">
        <v>1.1188</v>
      </c>
      <c r="C53" s="434">
        <v>1.1129</v>
      </c>
      <c r="D53" s="435">
        <v>10</v>
      </c>
      <c r="E53" s="436">
        <v>10</v>
      </c>
      <c r="F53" s="434">
        <v>1.1259999999999999</v>
      </c>
      <c r="G53" s="434">
        <v>1.1198999999999999</v>
      </c>
      <c r="H53" s="435">
        <v>1</v>
      </c>
      <c r="I53" s="437">
        <f>(F53-B53)*1000*H53/D53</f>
        <v>0.71999999999998732</v>
      </c>
      <c r="J53" s="437">
        <f>(G53-C53)*1000*H53/E53</f>
        <v>0.69999999999998952</v>
      </c>
      <c r="K53" s="438">
        <f>AVERAGE(I53:J53)</f>
        <v>0.70999999999998842</v>
      </c>
      <c r="L53" s="439"/>
      <c r="M53" s="440"/>
      <c r="N53" s="441">
        <f t="shared" ref="N53" si="17">(F53-L53)/E53*1000000</f>
        <v>112599.99999999999</v>
      </c>
      <c r="O53" s="442">
        <f t="shared" ref="O53" si="18">(G53-M53)/E53*1000000</f>
        <v>111989.99999999999</v>
      </c>
      <c r="P53" s="443">
        <f>AVERAGE(O53)</f>
        <v>111989.99999999999</v>
      </c>
      <c r="Q53" s="176"/>
      <c r="R53" s="176"/>
      <c r="S53" s="176"/>
      <c r="T53" s="176"/>
      <c r="U53" s="199"/>
      <c r="V53" s="199"/>
      <c r="W53" s="199"/>
      <c r="X53" s="199"/>
      <c r="Y53" s="199"/>
      <c r="Z53" s="199"/>
      <c r="AA53" s="199"/>
      <c r="AB53" s="199"/>
      <c r="AC53" s="199"/>
      <c r="AD53" s="199"/>
      <c r="AE53" s="199"/>
      <c r="AF53" s="199"/>
      <c r="AG53" s="199"/>
      <c r="AH53" s="199"/>
      <c r="AI53" s="199"/>
      <c r="AJ53" s="199"/>
      <c r="AK53" s="199"/>
      <c r="AL53" s="199"/>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x14ac:dyDescent="0.25">
      <c r="A54" s="428">
        <v>4</v>
      </c>
      <c r="B54" s="429">
        <v>1.1142000000000001</v>
      </c>
      <c r="C54" s="429">
        <v>1.101</v>
      </c>
      <c r="D54" s="430">
        <v>10</v>
      </c>
      <c r="E54" s="431">
        <v>10</v>
      </c>
      <c r="F54" s="429">
        <v>1.1208</v>
      </c>
      <c r="G54" s="429">
        <v>1.1077999999999999</v>
      </c>
      <c r="H54" s="430">
        <v>1</v>
      </c>
      <c r="I54" s="304">
        <f>(F54-B54)*1000*H54/D54</f>
        <v>0.65999999999999392</v>
      </c>
      <c r="J54" s="304">
        <f>(G54-C54)*1000*H54/E54</f>
        <v>0.67999999999999172</v>
      </c>
      <c r="K54" s="305">
        <f>AVERAGE(I54:J54)</f>
        <v>0.66999999999999282</v>
      </c>
      <c r="L54" s="306"/>
      <c r="M54" s="306"/>
      <c r="N54" s="307">
        <f>(F54-L54)/E54*1000000</f>
        <v>112080</v>
      </c>
      <c r="O54" s="308">
        <f>(G54-M54)/E54*1000000</f>
        <v>110779.99999999999</v>
      </c>
      <c r="P54" s="309">
        <f>AVERAGE(O54)</f>
        <v>110779.99999999999</v>
      </c>
      <c r="Q54" s="176"/>
      <c r="R54" s="176"/>
      <c r="S54" s="176"/>
      <c r="T54" s="176"/>
      <c r="U54" s="199"/>
      <c r="V54" s="199"/>
      <c r="W54" s="199"/>
      <c r="X54" s="199"/>
      <c r="Y54" s="199"/>
      <c r="Z54" s="199"/>
      <c r="AA54" s="199"/>
      <c r="AB54" s="199"/>
      <c r="AC54" s="199"/>
      <c r="AD54" s="199"/>
      <c r="AE54" s="199"/>
      <c r="AF54" s="199"/>
      <c r="AG54" s="199"/>
      <c r="AH54" s="199"/>
      <c r="AI54" s="199"/>
      <c r="AJ54" s="199"/>
      <c r="AK54" s="199"/>
      <c r="AL54" s="199"/>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x14ac:dyDescent="0.25">
      <c r="A55" s="428">
        <v>5</v>
      </c>
      <c r="B55" s="429">
        <v>1.1168</v>
      </c>
      <c r="C55" s="429">
        <v>1.1156999999999999</v>
      </c>
      <c r="D55" s="430">
        <v>10</v>
      </c>
      <c r="E55" s="431">
        <v>10</v>
      </c>
      <c r="F55" s="429">
        <v>1.1229</v>
      </c>
      <c r="G55" s="429">
        <v>1.1220000000000001</v>
      </c>
      <c r="H55" s="430">
        <v>1</v>
      </c>
      <c r="I55" s="304">
        <f t="shared" ref="I55:I56" si="19">(F55-B55)*1000*H55/D55</f>
        <v>0.60999999999999943</v>
      </c>
      <c r="J55" s="304">
        <f t="shared" ref="J55" si="20">(G55-C55)*1000*H55/E55</f>
        <v>0.63000000000001943</v>
      </c>
      <c r="K55" s="305">
        <f t="shared" ref="K55:K56" si="21">AVERAGE(I55:J55)</f>
        <v>0.62000000000000943</v>
      </c>
      <c r="L55" s="306"/>
      <c r="M55" s="306"/>
      <c r="N55" s="307">
        <f t="shared" ref="N55:N58" si="22">(F55-L55)/E55*1000000</f>
        <v>112290</v>
      </c>
      <c r="O55" s="308">
        <f t="shared" ref="O55:O58" si="23">(G55-M55)/E55*1000000</f>
        <v>112200.00000000001</v>
      </c>
      <c r="P55" s="309">
        <f>AVERAGE(N55:O55)</f>
        <v>112245</v>
      </c>
      <c r="Q55" s="176"/>
      <c r="R55" s="176"/>
      <c r="S55" s="176"/>
      <c r="T55" s="176"/>
      <c r="U55" s="199"/>
      <c r="V55" s="199"/>
      <c r="W55" s="199"/>
      <c r="X55" s="199"/>
      <c r="Y55" s="199"/>
      <c r="Z55" s="199"/>
      <c r="AA55" s="199"/>
      <c r="AB55" s="199"/>
      <c r="AC55" s="199"/>
      <c r="AD55" s="199"/>
      <c r="AE55" s="199"/>
      <c r="AF55" s="199"/>
      <c r="AG55" s="199"/>
      <c r="AH55" s="199"/>
      <c r="AI55" s="199"/>
      <c r="AJ55" s="199"/>
      <c r="AK55" s="199"/>
      <c r="AL55" s="293"/>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x14ac:dyDescent="0.25">
      <c r="A56" s="428">
        <v>6</v>
      </c>
      <c r="B56" s="429">
        <v>1.1221000000000001</v>
      </c>
      <c r="C56" s="429">
        <v>1.1209</v>
      </c>
      <c r="D56" s="430">
        <v>10</v>
      </c>
      <c r="E56" s="431">
        <v>10</v>
      </c>
      <c r="F56" s="429">
        <v>1.1274</v>
      </c>
      <c r="G56" s="429">
        <v>1.1259999999999999</v>
      </c>
      <c r="H56" s="430">
        <v>1</v>
      </c>
      <c r="I56" s="304">
        <f t="shared" si="19"/>
        <v>0.52999999999998604</v>
      </c>
      <c r="J56" s="304">
        <f>(G56-C56)*1000*H56/E56</f>
        <v>0.50999999999998824</v>
      </c>
      <c r="K56" s="305">
        <f t="shared" si="21"/>
        <v>0.51999999999998714</v>
      </c>
      <c r="L56" s="306"/>
      <c r="M56" s="306"/>
      <c r="N56" s="307">
        <f t="shared" si="22"/>
        <v>112740</v>
      </c>
      <c r="O56" s="308">
        <f>(G56-M56)/E56*1000000</f>
        <v>112599.99999999999</v>
      </c>
      <c r="P56" s="309">
        <f>AVERAGE(O56)</f>
        <v>112599.99999999999</v>
      </c>
      <c r="Q56" s="176"/>
      <c r="R56" s="176"/>
      <c r="S56" s="176"/>
      <c r="T56" s="176"/>
      <c r="U56" s="199"/>
      <c r="V56" s="199"/>
      <c r="W56" s="199"/>
      <c r="X56" s="199"/>
      <c r="Y56" s="199"/>
      <c r="Z56" s="199"/>
      <c r="AA56" s="199"/>
      <c r="AB56" s="199"/>
      <c r="AC56" s="199"/>
      <c r="AD56" s="199"/>
      <c r="AE56" s="199"/>
      <c r="AF56" s="199"/>
      <c r="AG56" s="199"/>
      <c r="AH56" s="199"/>
      <c r="AI56" s="199"/>
      <c r="AJ56" s="199"/>
      <c r="AK56" s="199"/>
      <c r="AL56" s="199"/>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x14ac:dyDescent="0.25">
      <c r="A57" s="428">
        <v>7</v>
      </c>
      <c r="B57" s="444">
        <v>1.1180000000000001</v>
      </c>
      <c r="C57" s="429">
        <v>1.127</v>
      </c>
      <c r="D57" s="430">
        <v>10</v>
      </c>
      <c r="E57" s="431">
        <v>10</v>
      </c>
      <c r="F57" s="429">
        <v>1.1235999999999999</v>
      </c>
      <c r="G57" s="429">
        <v>1.1325000000000001</v>
      </c>
      <c r="H57" s="430">
        <v>1</v>
      </c>
      <c r="I57" s="304">
        <f>(F57-B57)*1000*H57/D57</f>
        <v>0.55999999999998273</v>
      </c>
      <c r="J57" s="304">
        <f>(G57-C57)*1000*H57/E57</f>
        <v>0.55000000000000604</v>
      </c>
      <c r="K57" s="305">
        <f>AVERAGE(I57:J57)</f>
        <v>0.55499999999999439</v>
      </c>
      <c r="L57" s="296"/>
      <c r="M57" s="306"/>
      <c r="N57" s="307">
        <f t="shared" si="22"/>
        <v>112359.99999999999</v>
      </c>
      <c r="O57" s="308">
        <f>(G57-M57)/E57*1000000</f>
        <v>113250</v>
      </c>
      <c r="P57" s="309">
        <f>AVERAGE(O57)</f>
        <v>113250</v>
      </c>
      <c r="Q57" s="176"/>
      <c r="R57" s="176"/>
      <c r="S57" s="176"/>
      <c r="T57" s="176"/>
      <c r="U57" s="199"/>
      <c r="V57" s="199"/>
      <c r="W57" s="199"/>
      <c r="X57" s="199"/>
      <c r="Y57" s="199"/>
      <c r="Z57" s="199"/>
      <c r="AA57" s="199"/>
      <c r="AB57" s="199"/>
      <c r="AC57" s="199"/>
      <c r="AD57" s="199"/>
      <c r="AE57" s="199"/>
      <c r="AF57" s="199"/>
      <c r="AG57" s="199"/>
      <c r="AH57" s="199"/>
      <c r="AI57" s="199"/>
      <c r="AJ57" s="199"/>
      <c r="AK57" s="199"/>
      <c r="AL57" s="199"/>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thickBot="1" x14ac:dyDescent="0.3">
      <c r="A58" s="445" t="s">
        <v>104</v>
      </c>
      <c r="B58" s="429">
        <v>1.1220000000000001</v>
      </c>
      <c r="C58" s="429">
        <v>1.1104000000000001</v>
      </c>
      <c r="D58" s="430">
        <v>10</v>
      </c>
      <c r="E58" s="431">
        <v>10</v>
      </c>
      <c r="F58" s="429">
        <v>1.1266</v>
      </c>
      <c r="G58" s="429">
        <v>1.1149</v>
      </c>
      <c r="H58" s="430">
        <v>1</v>
      </c>
      <c r="I58" s="304">
        <f t="shared" ref="I58" si="24">(F58-B58)*1000*H58/D58</f>
        <v>0.45999999999999375</v>
      </c>
      <c r="J58" s="304">
        <f t="shared" ref="J58" si="25">(G58-C58)*1000*H58/E58</f>
        <v>0.44999999999999485</v>
      </c>
      <c r="K58" s="305">
        <f t="shared" ref="K58" si="26">AVERAGE(I58:J58)</f>
        <v>0.4549999999999943</v>
      </c>
      <c r="L58" s="316"/>
      <c r="M58" s="316"/>
      <c r="N58" s="307">
        <f t="shared" si="22"/>
        <v>112660.00000000001</v>
      </c>
      <c r="O58" s="308">
        <f t="shared" si="23"/>
        <v>111490</v>
      </c>
      <c r="P58" s="309">
        <f>AVERAGE(O58)</f>
        <v>111490</v>
      </c>
      <c r="Q58" s="176"/>
      <c r="R58" s="176"/>
      <c r="S58" s="176"/>
      <c r="T58" s="176"/>
      <c r="U58" s="199"/>
      <c r="V58" s="199"/>
      <c r="W58" s="199"/>
      <c r="X58" s="199"/>
      <c r="Y58" s="199"/>
      <c r="Z58" s="199"/>
      <c r="AA58" s="199"/>
      <c r="AB58" s="199"/>
      <c r="AC58" s="199"/>
      <c r="AD58" s="199"/>
      <c r="AE58" s="199"/>
      <c r="AF58" s="199"/>
      <c r="AG58" s="199"/>
      <c r="AH58" s="199"/>
      <c r="AI58" s="199"/>
      <c r="AJ58" s="199"/>
      <c r="AK58" s="199"/>
      <c r="AL58" s="199"/>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5" thickBot="1" x14ac:dyDescent="0.3">
      <c r="A59" s="176"/>
      <c r="B59" s="176"/>
      <c r="C59" s="176"/>
      <c r="D59" s="176"/>
      <c r="E59" s="176"/>
      <c r="F59" s="176"/>
      <c r="G59" s="176"/>
      <c r="H59" s="176"/>
      <c r="I59" s="176"/>
      <c r="J59" s="176"/>
      <c r="K59" s="176"/>
      <c r="L59" s="176"/>
      <c r="M59" s="176"/>
      <c r="N59" s="176"/>
      <c r="O59" s="176"/>
      <c r="P59" s="176"/>
      <c r="Q59" s="176"/>
      <c r="R59" s="176"/>
      <c r="S59" s="176"/>
      <c r="T59" s="176"/>
      <c r="U59" s="199"/>
      <c r="V59" s="199"/>
      <c r="W59" s="199"/>
      <c r="X59" s="199"/>
      <c r="Y59" s="199"/>
      <c r="Z59" s="199"/>
      <c r="AA59" s="199"/>
      <c r="AB59" s="199"/>
      <c r="AC59" s="199"/>
      <c r="AD59" s="199"/>
      <c r="AE59" s="199"/>
      <c r="AF59" s="199"/>
      <c r="AG59" s="199"/>
      <c r="AH59" s="199"/>
      <c r="AI59" s="199"/>
      <c r="AJ59" s="199"/>
      <c r="AK59" s="199"/>
      <c r="AL59" s="199"/>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x14ac:dyDescent="0.25">
      <c r="A60" s="515" t="s">
        <v>107</v>
      </c>
      <c r="B60" s="516"/>
      <c r="C60" s="516"/>
      <c r="D60" s="516"/>
      <c r="E60" s="516"/>
      <c r="F60" s="516"/>
      <c r="G60" s="516"/>
      <c r="H60" s="516"/>
      <c r="I60" s="516"/>
      <c r="J60" s="516"/>
      <c r="K60" s="516"/>
      <c r="L60" s="516"/>
      <c r="M60" s="516"/>
      <c r="N60" s="516"/>
      <c r="O60" s="517"/>
      <c r="P60" s="176"/>
      <c r="Q60" s="176"/>
      <c r="R60" s="176"/>
      <c r="S60" s="176"/>
      <c r="T60" s="176"/>
      <c r="U60" s="199"/>
      <c r="V60" s="199"/>
      <c r="W60" s="199"/>
      <c r="X60" s="199"/>
      <c r="Y60" s="199"/>
      <c r="Z60" s="199"/>
      <c r="AA60" s="199"/>
      <c r="AB60" s="199"/>
      <c r="AC60" s="199"/>
      <c r="AD60" s="199"/>
      <c r="AE60" s="199"/>
      <c r="AF60" s="199"/>
      <c r="AG60" s="199"/>
      <c r="AH60" s="199"/>
      <c r="AI60" s="199"/>
      <c r="AJ60" s="199"/>
      <c r="AK60" s="199"/>
      <c r="AL60" s="293"/>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x14ac:dyDescent="0.25">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99"/>
      <c r="V61" s="199"/>
      <c r="W61" s="199"/>
      <c r="X61" s="199"/>
      <c r="Y61" s="199"/>
      <c r="Z61" s="199"/>
      <c r="AA61" s="199"/>
      <c r="AB61" s="199"/>
      <c r="AC61" s="199"/>
      <c r="AD61" s="199"/>
      <c r="AE61" s="199"/>
      <c r="AF61" s="199"/>
      <c r="AG61" s="199"/>
      <c r="AH61" s="199"/>
      <c r="AI61" s="199"/>
      <c r="AJ61" s="199"/>
      <c r="AK61" s="199"/>
      <c r="AL61" s="199"/>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x14ac:dyDescent="0.25">
      <c r="A62" s="300">
        <v>1</v>
      </c>
      <c r="B62" s="342">
        <v>0.99560000000000004</v>
      </c>
      <c r="C62" s="301">
        <v>0.99209999999999998</v>
      </c>
      <c r="D62" s="342">
        <v>5.2994000000000003</v>
      </c>
      <c r="E62" s="301">
        <v>5.2906000000000004</v>
      </c>
      <c r="F62" s="301">
        <v>2.2528000000000001</v>
      </c>
      <c r="G62" s="301">
        <v>2.2587000000000002</v>
      </c>
      <c r="H62" s="258">
        <f t="shared" ref="H62:I70" si="27">(F62-B62)*100/(D62-B62)</f>
        <v>29.211394581532598</v>
      </c>
      <c r="I62" s="258">
        <f t="shared" si="27"/>
        <v>29.466092823077815</v>
      </c>
      <c r="J62" s="321">
        <f t="shared" ref="J62:J70" si="28">AVERAGE(H62:I62)</f>
        <v>29.338743702305209</v>
      </c>
      <c r="K62" s="306"/>
      <c r="L62" s="306"/>
      <c r="M62" s="321">
        <f t="shared" ref="M62:N70" si="29">((F62-K62)/D62)*100</f>
        <v>42.510472883722684</v>
      </c>
      <c r="N62" s="322">
        <f t="shared" si="29"/>
        <v>42.692700260839977</v>
      </c>
      <c r="O62" s="323">
        <f t="shared" ref="O62" si="30">AVERAGE(M62:N62)</f>
        <v>42.601586572281334</v>
      </c>
      <c r="P62" s="176"/>
      <c r="Q62" s="176"/>
      <c r="R62" s="176"/>
      <c r="S62" s="176"/>
      <c r="T62" s="176"/>
      <c r="U62" s="199"/>
      <c r="V62" s="199"/>
      <c r="W62" s="199"/>
      <c r="X62" s="199"/>
      <c r="Y62" s="199"/>
      <c r="Z62" s="199"/>
      <c r="AA62" s="199"/>
      <c r="AB62" s="199"/>
      <c r="AC62" s="199"/>
      <c r="AD62" s="199"/>
      <c r="AE62" s="199"/>
      <c r="AF62" s="199"/>
      <c r="AG62" s="199"/>
      <c r="AH62" s="199"/>
      <c r="AI62" s="199"/>
      <c r="AJ62" s="199"/>
      <c r="AK62" s="199"/>
      <c r="AL62" s="293"/>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x14ac:dyDescent="0.25">
      <c r="A63" s="300">
        <v>2</v>
      </c>
      <c r="B63" s="301">
        <v>0.99590000000000001</v>
      </c>
      <c r="C63" s="342">
        <v>0.99719999999999998</v>
      </c>
      <c r="D63" s="301">
        <v>5.2544000000000004</v>
      </c>
      <c r="E63" s="342">
        <v>5.1435000000000004</v>
      </c>
      <c r="F63" s="312">
        <v>2.2578</v>
      </c>
      <c r="G63" s="301">
        <v>2.2389999999999999</v>
      </c>
      <c r="H63" s="258">
        <f t="shared" si="27"/>
        <v>29.63249970646941</v>
      </c>
      <c r="I63" s="258">
        <f t="shared" si="27"/>
        <v>29.949593613583197</v>
      </c>
      <c r="J63" s="321">
        <f t="shared" si="28"/>
        <v>29.791046660026304</v>
      </c>
      <c r="K63" s="306"/>
      <c r="L63" s="306"/>
      <c r="M63" s="321">
        <f t="shared" si="29"/>
        <v>42.969701583434833</v>
      </c>
      <c r="N63" s="322">
        <f t="shared" si="29"/>
        <v>43.53066977738893</v>
      </c>
      <c r="O63" s="323">
        <f>AVERAGE(M63:N63)</f>
        <v>43.250185680411882</v>
      </c>
      <c r="P63" s="176"/>
      <c r="Q63" s="176"/>
      <c r="R63" s="176"/>
      <c r="S63" s="176"/>
      <c r="T63" s="176"/>
      <c r="U63" s="199"/>
      <c r="V63" s="199"/>
      <c r="W63" s="199"/>
      <c r="X63" s="199"/>
      <c r="Y63" s="199"/>
      <c r="Z63" s="199"/>
      <c r="AA63" s="199"/>
      <c r="AB63" s="199"/>
      <c r="AC63" s="199"/>
      <c r="AD63" s="199"/>
      <c r="AE63" s="199"/>
      <c r="AF63" s="199"/>
      <c r="AG63" s="199"/>
      <c r="AH63" s="199"/>
      <c r="AI63" s="199"/>
      <c r="AJ63" s="199"/>
      <c r="AK63" s="199"/>
      <c r="AL63" s="293"/>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ht="16.5" thickBot="1" x14ac:dyDescent="0.3">
      <c r="A64" s="446">
        <v>3</v>
      </c>
      <c r="B64" s="447">
        <v>1.0006999999999999</v>
      </c>
      <c r="C64" s="448">
        <v>0.98799999999999999</v>
      </c>
      <c r="D64" s="448">
        <v>5.4307999999999996</v>
      </c>
      <c r="E64" s="448">
        <v>5.2054</v>
      </c>
      <c r="F64" s="448">
        <v>2.3656999999999999</v>
      </c>
      <c r="G64" s="448">
        <v>2.2974999999999999</v>
      </c>
      <c r="H64" s="258">
        <f t="shared" si="27"/>
        <v>30.811945554276431</v>
      </c>
      <c r="I64" s="258">
        <f t="shared" si="27"/>
        <v>31.049935979513446</v>
      </c>
      <c r="J64" s="321">
        <f t="shared" si="28"/>
        <v>30.930940766894938</v>
      </c>
      <c r="K64" s="440"/>
      <c r="L64" s="440"/>
      <c r="M64" s="321">
        <f t="shared" si="29"/>
        <v>43.560801355233117</v>
      </c>
      <c r="N64" s="322">
        <f t="shared" si="29"/>
        <v>44.136857878357091</v>
      </c>
      <c r="O64" s="323">
        <f t="shared" ref="O64:O70" si="31">AVERAGE(M64:N64)</f>
        <v>43.848829616795101</v>
      </c>
      <c r="P64" s="176"/>
      <c r="Q64" s="176"/>
      <c r="R64" s="176"/>
      <c r="S64" s="176"/>
      <c r="T64" s="176"/>
      <c r="U64" s="199"/>
      <c r="V64" s="199"/>
      <c r="W64" s="199"/>
      <c r="X64" s="199"/>
      <c r="Y64" s="199"/>
      <c r="Z64" s="199"/>
      <c r="AA64" s="199"/>
      <c r="AB64" s="199"/>
      <c r="AC64" s="199"/>
      <c r="AD64" s="199"/>
      <c r="AE64" s="199"/>
      <c r="AF64" s="199"/>
      <c r="AG64" s="199"/>
      <c r="AH64" s="199"/>
      <c r="AI64" s="199"/>
      <c r="AJ64" s="199"/>
      <c r="AK64" s="199"/>
      <c r="AL64" s="199"/>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x14ac:dyDescent="0.25">
      <c r="A65" s="300">
        <v>4</v>
      </c>
      <c r="B65" s="342">
        <v>1.0016</v>
      </c>
      <c r="C65" s="310">
        <v>0.99629999999999996</v>
      </c>
      <c r="D65" s="342">
        <v>5.2363999999999997</v>
      </c>
      <c r="E65" s="311">
        <v>5.3712</v>
      </c>
      <c r="F65" s="301">
        <v>2.3445</v>
      </c>
      <c r="G65" s="301">
        <v>2.4020000000000001</v>
      </c>
      <c r="H65" s="258">
        <f t="shared" si="27"/>
        <v>31.711060734863512</v>
      </c>
      <c r="I65" s="258">
        <f t="shared" si="27"/>
        <v>32.131020137603151</v>
      </c>
      <c r="J65" s="321">
        <f t="shared" si="28"/>
        <v>31.921040436233334</v>
      </c>
      <c r="K65" s="306"/>
      <c r="L65" s="306"/>
      <c r="M65" s="321">
        <f t="shared" si="29"/>
        <v>44.773126575509899</v>
      </c>
      <c r="N65" s="322">
        <f t="shared" si="29"/>
        <v>44.71998808459935</v>
      </c>
      <c r="O65" s="323">
        <f t="shared" si="31"/>
        <v>44.746557330054628</v>
      </c>
      <c r="P65" s="176"/>
      <c r="Q65" s="176"/>
      <c r="R65" s="176"/>
      <c r="S65" s="176"/>
      <c r="T65" s="176"/>
      <c r="U65" s="199"/>
      <c r="V65" s="199"/>
      <c r="W65" s="199"/>
      <c r="X65" s="199"/>
      <c r="Y65" s="199"/>
      <c r="Z65" s="199"/>
      <c r="AA65" s="199"/>
      <c r="AB65" s="199"/>
      <c r="AC65" s="199"/>
      <c r="AD65" s="199"/>
      <c r="AE65" s="199"/>
      <c r="AF65" s="199"/>
      <c r="AG65" s="199"/>
      <c r="AH65" s="199"/>
      <c r="AI65" s="199"/>
      <c r="AJ65" s="199"/>
      <c r="AK65" s="199"/>
      <c r="AL65" s="293"/>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x14ac:dyDescent="0.25">
      <c r="A66" s="300">
        <v>5</v>
      </c>
      <c r="B66" s="301">
        <v>0.99990000000000001</v>
      </c>
      <c r="C66" s="342">
        <v>0.99760000000000004</v>
      </c>
      <c r="D66" s="301">
        <v>5.3014000000000001</v>
      </c>
      <c r="E66" s="342">
        <v>5.4413</v>
      </c>
      <c r="F66" s="325">
        <v>2.3035999999999999</v>
      </c>
      <c r="G66" s="301">
        <v>2.3559000000000001</v>
      </c>
      <c r="H66" s="258">
        <f t="shared" si="27"/>
        <v>30.308032081831914</v>
      </c>
      <c r="I66" s="258">
        <f t="shared" si="27"/>
        <v>30.56686995071675</v>
      </c>
      <c r="J66" s="321">
        <f t="shared" si="28"/>
        <v>30.437451016274331</v>
      </c>
      <c r="K66" s="306"/>
      <c r="L66" s="306"/>
      <c r="M66" s="321">
        <f t="shared" si="29"/>
        <v>43.452672878862188</v>
      </c>
      <c r="N66" s="322">
        <f t="shared" si="29"/>
        <v>43.29663867090585</v>
      </c>
      <c r="O66" s="323">
        <f t="shared" si="31"/>
        <v>43.374655774884019</v>
      </c>
      <c r="P66" s="176"/>
      <c r="Q66" s="176"/>
      <c r="R66" s="176"/>
      <c r="S66" s="176"/>
      <c r="T66" s="176"/>
      <c r="U66" s="199"/>
      <c r="V66" s="199"/>
      <c r="W66" s="199"/>
      <c r="X66" s="199"/>
      <c r="Y66" s="199"/>
      <c r="Z66" s="199"/>
      <c r="AA66" s="199"/>
      <c r="AB66" s="199"/>
      <c r="AC66" s="199"/>
      <c r="AD66" s="199"/>
      <c r="AE66" s="199"/>
      <c r="AF66" s="199"/>
      <c r="AG66" s="199"/>
      <c r="AH66" s="199"/>
      <c r="AI66" s="199"/>
      <c r="AJ66" s="199"/>
      <c r="AK66" s="199"/>
      <c r="AL66" s="199"/>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x14ac:dyDescent="0.25">
      <c r="A67" s="300">
        <v>6</v>
      </c>
      <c r="B67" s="342">
        <v>0.98019999999999996</v>
      </c>
      <c r="C67" s="301">
        <v>1.0136000000000001</v>
      </c>
      <c r="D67" s="449">
        <v>5.3070000000000004</v>
      </c>
      <c r="E67" s="301">
        <v>5.2591999999999999</v>
      </c>
      <c r="F67" s="301">
        <v>2.3264</v>
      </c>
      <c r="G67" s="301">
        <v>2.3523999999999998</v>
      </c>
      <c r="H67" s="258">
        <f t="shared" si="27"/>
        <v>31.113062771563278</v>
      </c>
      <c r="I67" s="258">
        <f t="shared" si="27"/>
        <v>31.533823252308267</v>
      </c>
      <c r="J67" s="321">
        <f t="shared" si="28"/>
        <v>31.323443011935773</v>
      </c>
      <c r="K67" s="306"/>
      <c r="L67" s="306"/>
      <c r="M67" s="321">
        <f t="shared" si="29"/>
        <v>43.836442434520443</v>
      </c>
      <c r="N67" s="322">
        <f t="shared" si="29"/>
        <v>44.729236385762086</v>
      </c>
      <c r="O67" s="323">
        <f t="shared" si="31"/>
        <v>44.282839410141264</v>
      </c>
      <c r="P67" s="176"/>
      <c r="Q67" s="176"/>
      <c r="R67" s="176"/>
      <c r="S67" s="176"/>
      <c r="T67" s="176"/>
      <c r="U67" s="199"/>
      <c r="V67" s="199"/>
      <c r="W67" s="199"/>
      <c r="X67" s="199"/>
      <c r="Y67" s="199"/>
      <c r="Z67" s="199"/>
      <c r="AA67" s="199"/>
      <c r="AB67" s="199"/>
      <c r="AC67" s="199"/>
      <c r="AD67" s="199"/>
      <c r="AE67" s="199"/>
      <c r="AF67" s="199"/>
      <c r="AG67" s="199"/>
      <c r="AH67" s="199"/>
      <c r="AI67" s="199"/>
      <c r="AJ67" s="199"/>
      <c r="AK67" s="199"/>
      <c r="AL67" s="293"/>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x14ac:dyDescent="0.25">
      <c r="A68" s="300">
        <v>7</v>
      </c>
      <c r="B68" s="450">
        <v>0.97870000000000001</v>
      </c>
      <c r="C68" s="311">
        <v>0.99080000000000001</v>
      </c>
      <c r="D68" s="311">
        <v>5.1050000000000004</v>
      </c>
      <c r="E68" s="311">
        <v>5.1189999999999998</v>
      </c>
      <c r="F68" s="311">
        <v>2.2940999999999998</v>
      </c>
      <c r="G68" s="311">
        <v>2.2936999999999999</v>
      </c>
      <c r="H68" s="258">
        <f t="shared" si="27"/>
        <v>31.878438310350671</v>
      </c>
      <c r="I68" s="258">
        <f t="shared" si="27"/>
        <v>31.560970883193637</v>
      </c>
      <c r="J68" s="321">
        <f t="shared" si="28"/>
        <v>31.719704596772154</v>
      </c>
      <c r="K68" s="306"/>
      <c r="L68" s="306"/>
      <c r="M68" s="321">
        <f t="shared" si="29"/>
        <v>44.938295788442694</v>
      </c>
      <c r="N68" s="322">
        <f t="shared" si="29"/>
        <v>44.80757960539168</v>
      </c>
      <c r="O68" s="323">
        <f t="shared" si="31"/>
        <v>44.872937696917191</v>
      </c>
      <c r="P68" s="176"/>
      <c r="Q68" s="176"/>
      <c r="R68" s="176"/>
      <c r="S68" s="176"/>
      <c r="T68" s="176"/>
      <c r="U68" s="199"/>
      <c r="V68" s="199"/>
      <c r="W68" s="199"/>
      <c r="X68" s="199"/>
      <c r="Y68" s="199"/>
      <c r="Z68" s="199"/>
      <c r="AA68" s="199"/>
      <c r="AB68" s="199"/>
      <c r="AC68" s="199"/>
      <c r="AD68" s="199"/>
      <c r="AE68" s="199"/>
      <c r="AF68" s="199"/>
      <c r="AG68" s="199"/>
      <c r="AH68" s="199"/>
      <c r="AI68" s="199"/>
      <c r="AJ68" s="199"/>
      <c r="AK68" s="199"/>
      <c r="AL68" s="293"/>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x14ac:dyDescent="0.25">
      <c r="A69" s="451" t="s">
        <v>118</v>
      </c>
      <c r="B69" s="452">
        <v>1.0043</v>
      </c>
      <c r="C69" s="311">
        <v>0.99360000000000004</v>
      </c>
      <c r="D69" s="311">
        <v>5.4298999999999999</v>
      </c>
      <c r="E69" s="311">
        <v>5.4103000000000003</v>
      </c>
      <c r="F69" s="311">
        <v>2.4601999999999999</v>
      </c>
      <c r="G69" s="311">
        <v>2.4380999999999999</v>
      </c>
      <c r="H69" s="258">
        <f t="shared" si="27"/>
        <v>32.897234273318873</v>
      </c>
      <c r="I69" s="258">
        <f t="shared" si="27"/>
        <v>32.705413544048717</v>
      </c>
      <c r="J69" s="321">
        <f t="shared" si="28"/>
        <v>32.801323908683798</v>
      </c>
      <c r="K69" s="327"/>
      <c r="L69" s="327"/>
      <c r="M69" s="321">
        <f t="shared" si="29"/>
        <v>45.308385053131737</v>
      </c>
      <c r="N69" s="322">
        <f t="shared" si="29"/>
        <v>45.064044507698277</v>
      </c>
      <c r="O69" s="323">
        <f t="shared" si="31"/>
        <v>45.186214780415007</v>
      </c>
      <c r="P69" s="176"/>
      <c r="Q69" s="176"/>
      <c r="R69" s="176"/>
      <c r="S69" s="176"/>
      <c r="T69" s="176"/>
      <c r="U69" s="199"/>
      <c r="V69" s="199"/>
      <c r="W69" s="199"/>
      <c r="X69" s="199"/>
      <c r="Y69" s="199"/>
      <c r="Z69" s="199"/>
      <c r="AA69" s="199"/>
      <c r="AB69" s="199"/>
      <c r="AC69" s="199"/>
      <c r="AD69" s="199"/>
      <c r="AE69" s="199"/>
      <c r="AF69" s="199"/>
      <c r="AG69" s="199"/>
      <c r="AH69" s="199"/>
      <c r="AI69" s="199"/>
      <c r="AJ69" s="199"/>
      <c r="AK69" s="199"/>
      <c r="AL69" s="199"/>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ht="16.5" thickBot="1" x14ac:dyDescent="0.3">
      <c r="A70" s="314" t="s">
        <v>119</v>
      </c>
      <c r="B70" s="453">
        <v>0.99850000000000005</v>
      </c>
      <c r="C70" s="311">
        <v>1.0026999999999999</v>
      </c>
      <c r="D70" s="311">
        <v>5.2777000000000003</v>
      </c>
      <c r="E70" s="311">
        <v>5.4320000000000004</v>
      </c>
      <c r="F70" s="311">
        <v>1.1701999999999999</v>
      </c>
      <c r="G70" s="311">
        <v>1.1827000000000001</v>
      </c>
      <c r="H70" s="454">
        <f t="shared" si="27"/>
        <v>4.0124322303234212</v>
      </c>
      <c r="I70" s="258">
        <f t="shared" si="27"/>
        <v>4.0638475605626203</v>
      </c>
      <c r="J70" s="321">
        <f t="shared" si="28"/>
        <v>4.0381398954430203</v>
      </c>
      <c r="K70" s="306"/>
      <c r="L70" s="329"/>
      <c r="M70" s="321">
        <f t="shared" si="29"/>
        <v>22.172537279496748</v>
      </c>
      <c r="N70" s="331">
        <f t="shared" si="29"/>
        <v>21.772827687776143</v>
      </c>
      <c r="O70" s="332">
        <f t="shared" si="31"/>
        <v>21.972682483636447</v>
      </c>
      <c r="P70" s="176"/>
      <c r="Q70" s="176"/>
      <c r="R70" s="176"/>
      <c r="S70" s="176"/>
      <c r="T70" s="176"/>
      <c r="U70" s="199"/>
      <c r="V70" s="199"/>
      <c r="W70" s="199"/>
      <c r="X70" s="199"/>
      <c r="Y70" s="199"/>
      <c r="Z70" s="199"/>
      <c r="AA70" s="199"/>
      <c r="AB70" s="199"/>
      <c r="AC70" s="199"/>
      <c r="AD70" s="199"/>
      <c r="AE70" s="199"/>
      <c r="AF70" s="199"/>
      <c r="AG70" s="199"/>
      <c r="AH70" s="199"/>
      <c r="AI70" s="199"/>
      <c r="AJ70" s="199"/>
      <c r="AK70" s="199"/>
      <c r="AL70" s="293"/>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x14ac:dyDescent="0.25">
      <c r="A71" s="176"/>
      <c r="B71" s="176"/>
      <c r="C71" s="176"/>
      <c r="D71" s="176"/>
      <c r="E71" s="176"/>
      <c r="F71" s="176"/>
      <c r="G71" s="176"/>
      <c r="H71" s="176"/>
      <c r="I71" s="176"/>
      <c r="J71" s="176"/>
      <c r="K71" s="176"/>
      <c r="L71" s="176"/>
      <c r="M71" s="176"/>
      <c r="N71" s="176"/>
      <c r="O71" s="176"/>
      <c r="P71" s="176"/>
      <c r="Q71" s="176"/>
      <c r="R71" s="176"/>
      <c r="S71" s="176"/>
      <c r="T71" s="176"/>
      <c r="U71" s="199"/>
      <c r="V71" s="199"/>
      <c r="W71" s="199"/>
      <c r="X71" s="199"/>
      <c r="Y71" s="199"/>
      <c r="Z71" s="199"/>
      <c r="AA71" s="199"/>
      <c r="AB71" s="199"/>
      <c r="AC71" s="199"/>
      <c r="AD71" s="199"/>
      <c r="AE71" s="199"/>
      <c r="AF71" s="199"/>
      <c r="AG71" s="199"/>
      <c r="AH71" s="199"/>
      <c r="AI71" s="199"/>
      <c r="AJ71" s="199"/>
      <c r="AK71" s="199"/>
      <c r="AL71" s="199"/>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x14ac:dyDescent="0.25">
      <c r="A72" s="333" t="s">
        <v>174</v>
      </c>
      <c r="B72" s="334"/>
      <c r="C72" s="334"/>
      <c r="D72" s="334"/>
      <c r="E72" s="334"/>
      <c r="F72" s="334"/>
      <c r="G72" s="334"/>
      <c r="H72" s="334"/>
      <c r="I72" s="334"/>
      <c r="J72" s="334"/>
      <c r="K72" s="334"/>
      <c r="L72" s="334"/>
      <c r="M72" s="334"/>
      <c r="N72" s="334"/>
      <c r="O72" s="334"/>
      <c r="P72" s="334"/>
      <c r="Q72" s="176"/>
      <c r="R72" s="176"/>
      <c r="S72" s="176"/>
      <c r="T72" s="176"/>
      <c r="U72" s="199"/>
      <c r="V72" s="199"/>
      <c r="W72" s="199"/>
      <c r="X72" s="199"/>
      <c r="Y72" s="199"/>
      <c r="Z72" s="199"/>
      <c r="AA72" s="199"/>
      <c r="AB72" s="199"/>
      <c r="AC72" s="199"/>
      <c r="AD72" s="199"/>
      <c r="AE72" s="199"/>
      <c r="AF72" s="199"/>
      <c r="AG72" s="199"/>
      <c r="AH72" s="199"/>
      <c r="AI72" s="199"/>
      <c r="AJ72" s="199"/>
      <c r="AK72" s="199"/>
      <c r="AL72" s="293"/>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5" thickBot="1" x14ac:dyDescent="0.3">
      <c r="A73" s="334"/>
      <c r="B73" s="334"/>
      <c r="C73" s="334"/>
      <c r="D73" s="334"/>
      <c r="E73" s="334"/>
      <c r="F73" s="334"/>
      <c r="G73" s="334"/>
      <c r="H73" s="334"/>
      <c r="I73" s="334"/>
      <c r="J73" s="334"/>
      <c r="K73" s="334"/>
      <c r="L73" s="334"/>
      <c r="M73" s="334"/>
      <c r="N73" s="334"/>
      <c r="O73" s="334"/>
      <c r="P73" s="334"/>
      <c r="Q73" s="176"/>
      <c r="R73" s="176"/>
      <c r="S73" s="176"/>
      <c r="T73" s="176"/>
      <c r="U73" s="199"/>
      <c r="V73" s="199"/>
      <c r="W73" s="199"/>
      <c r="X73" s="199"/>
      <c r="Y73" s="199"/>
      <c r="Z73" s="199"/>
      <c r="AA73" s="199"/>
      <c r="AB73" s="199"/>
      <c r="AC73" s="199"/>
      <c r="AD73" s="199"/>
      <c r="AE73" s="199"/>
      <c r="AF73" s="199"/>
      <c r="AG73" s="199"/>
      <c r="AH73" s="199"/>
      <c r="AI73" s="199"/>
      <c r="AJ73" s="199"/>
      <c r="AK73" s="199"/>
      <c r="AL73" s="199"/>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x14ac:dyDescent="0.25">
      <c r="A74" s="518" t="s">
        <v>82</v>
      </c>
      <c r="B74" s="514"/>
      <c r="C74" s="514"/>
      <c r="D74" s="514"/>
      <c r="E74" s="514"/>
      <c r="F74" s="514"/>
      <c r="G74" s="514"/>
      <c r="H74" s="514"/>
      <c r="I74" s="514"/>
      <c r="J74" s="514"/>
      <c r="K74" s="514"/>
      <c r="L74" s="514"/>
      <c r="M74" s="514"/>
      <c r="N74" s="514"/>
      <c r="O74" s="514"/>
      <c r="P74" s="514"/>
      <c r="Q74" s="176"/>
      <c r="R74" s="176"/>
      <c r="S74" s="176"/>
      <c r="T74" s="176"/>
      <c r="U74" s="199"/>
      <c r="V74" s="199"/>
      <c r="W74" s="199"/>
      <c r="X74" s="199"/>
      <c r="Y74" s="199"/>
      <c r="Z74" s="199"/>
      <c r="AA74" s="199"/>
      <c r="AB74" s="199"/>
      <c r="AC74" s="199"/>
      <c r="AD74" s="199"/>
      <c r="AE74" s="199"/>
      <c r="AF74" s="199"/>
      <c r="AG74" s="199"/>
      <c r="AH74" s="199"/>
      <c r="AI74" s="199"/>
      <c r="AJ74" s="199"/>
      <c r="AK74" s="199"/>
      <c r="AL74" s="293"/>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25">
      <c r="A75" s="271" t="s">
        <v>84</v>
      </c>
      <c r="B75" s="272" t="s">
        <v>85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99"/>
      <c r="V75" s="199"/>
      <c r="W75" s="199"/>
      <c r="X75" s="199"/>
      <c r="Y75" s="199"/>
      <c r="Z75" s="199"/>
      <c r="AA75" s="199"/>
      <c r="AB75" s="199"/>
      <c r="AC75" s="199"/>
      <c r="AD75" s="199"/>
      <c r="AE75" s="199"/>
      <c r="AF75" s="199"/>
      <c r="AG75" s="199"/>
      <c r="AH75" s="199"/>
      <c r="AI75" s="199"/>
      <c r="AJ75" s="199"/>
      <c r="AK75" s="199"/>
      <c r="AL75" s="199"/>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x14ac:dyDescent="0.25">
      <c r="A76" s="300">
        <v>1</v>
      </c>
      <c r="B76" s="336"/>
      <c r="C76" s="337"/>
      <c r="D76" s="302">
        <v>10</v>
      </c>
      <c r="E76" s="302">
        <v>10</v>
      </c>
      <c r="F76" s="277"/>
      <c r="G76" s="303"/>
      <c r="H76" s="302">
        <v>1</v>
      </c>
      <c r="I76" s="304">
        <f t="shared" ref="I76:I80" si="32">(F76-B76)*1000*H76/D76</f>
        <v>0</v>
      </c>
      <c r="J76" s="304">
        <f t="shared" ref="J76:J80" si="33">(G76-C76)*1000*H76/E76</f>
        <v>0</v>
      </c>
      <c r="K76" s="305">
        <f t="shared" ref="K76:K79" si="34">AVERAGE(I76:J76)</f>
        <v>0</v>
      </c>
      <c r="L76" s="296"/>
      <c r="M76" s="306"/>
      <c r="N76" s="307">
        <f t="shared" ref="N76:N80" si="35">(F76-L76)/E76*1000000</f>
        <v>0</v>
      </c>
      <c r="O76" s="308">
        <f>(G76-M76)/E76*1000000</f>
        <v>0</v>
      </c>
      <c r="P76" s="309">
        <f>AVERAGE(O76)</f>
        <v>0</v>
      </c>
      <c r="Q76" s="176"/>
      <c r="R76" s="176"/>
      <c r="S76" s="176"/>
      <c r="T76" s="176"/>
      <c r="U76" s="199"/>
      <c r="V76" s="199"/>
      <c r="W76" s="199"/>
      <c r="X76" s="199"/>
      <c r="Y76" s="199"/>
      <c r="Z76" s="199"/>
      <c r="AA76" s="199"/>
      <c r="AB76" s="199"/>
      <c r="AC76" s="199"/>
      <c r="AD76" s="199"/>
      <c r="AE76" s="199"/>
      <c r="AF76" s="199"/>
      <c r="AG76" s="199"/>
      <c r="AH76" s="199"/>
      <c r="AI76" s="199"/>
      <c r="AJ76" s="199"/>
      <c r="AK76" s="199"/>
      <c r="AL76" s="293"/>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25">
      <c r="A77" s="300">
        <v>2</v>
      </c>
      <c r="B77" s="336"/>
      <c r="C77" s="337"/>
      <c r="D77" s="302">
        <v>10</v>
      </c>
      <c r="E77" s="302">
        <v>10</v>
      </c>
      <c r="F77" s="277"/>
      <c r="G77" s="303"/>
      <c r="H77" s="302">
        <v>1</v>
      </c>
      <c r="I77" s="304">
        <f t="shared" si="32"/>
        <v>0</v>
      </c>
      <c r="J77" s="304">
        <f t="shared" si="33"/>
        <v>0</v>
      </c>
      <c r="K77" s="305">
        <f t="shared" si="34"/>
        <v>0</v>
      </c>
      <c r="L77" s="337"/>
      <c r="M77" s="306"/>
      <c r="N77" s="307">
        <f t="shared" si="35"/>
        <v>0</v>
      </c>
      <c r="O77" s="308">
        <f>(G77-M77)/E77*1000000</f>
        <v>0</v>
      </c>
      <c r="P77" s="309">
        <f>AVERAGE(O77)</f>
        <v>0</v>
      </c>
      <c r="Q77" s="176"/>
      <c r="R77" s="176"/>
      <c r="S77" s="176"/>
      <c r="T77" s="176"/>
      <c r="U77" s="199"/>
      <c r="V77" s="199"/>
      <c r="W77" s="199"/>
      <c r="X77" s="199"/>
      <c r="Y77" s="199"/>
      <c r="Z77" s="199"/>
      <c r="AA77" s="199"/>
      <c r="AB77" s="199"/>
      <c r="AC77" s="199"/>
      <c r="AD77" s="199"/>
      <c r="AE77" s="199"/>
      <c r="AF77" s="199"/>
      <c r="AG77" s="199"/>
      <c r="AH77" s="199"/>
      <c r="AI77" s="199"/>
      <c r="AJ77" s="199"/>
      <c r="AK77" s="199"/>
      <c r="AL77" s="293"/>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x14ac:dyDescent="0.25">
      <c r="A78" s="300">
        <v>3</v>
      </c>
      <c r="B78" s="338"/>
      <c r="C78" s="338"/>
      <c r="D78" s="302">
        <v>10</v>
      </c>
      <c r="E78" s="302">
        <v>10</v>
      </c>
      <c r="F78" s="303"/>
      <c r="G78" s="303"/>
      <c r="H78" s="302">
        <v>1</v>
      </c>
      <c r="I78" s="304">
        <f t="shared" si="32"/>
        <v>0</v>
      </c>
      <c r="J78" s="304">
        <f t="shared" si="33"/>
        <v>0</v>
      </c>
      <c r="K78" s="305">
        <f t="shared" si="34"/>
        <v>0</v>
      </c>
      <c r="L78" s="338"/>
      <c r="M78" s="306"/>
      <c r="N78" s="307">
        <f t="shared" si="35"/>
        <v>0</v>
      </c>
      <c r="O78" s="308">
        <f>(G78-M78)/E78*1000000</f>
        <v>0</v>
      </c>
      <c r="P78" s="309">
        <f>AVERAGE(N78:O78)</f>
        <v>0</v>
      </c>
      <c r="Q78" s="176"/>
      <c r="R78" s="176"/>
      <c r="S78" s="176"/>
      <c r="T78" s="176"/>
      <c r="U78" s="199"/>
      <c r="V78" s="199"/>
      <c r="W78" s="199"/>
      <c r="X78" s="199"/>
      <c r="Y78" s="199"/>
      <c r="Z78" s="199"/>
      <c r="AA78" s="199"/>
      <c r="AB78" s="199"/>
      <c r="AC78" s="199"/>
      <c r="AD78" s="199"/>
      <c r="AE78" s="199"/>
      <c r="AF78" s="199"/>
      <c r="AG78" s="199"/>
      <c r="AH78" s="199"/>
      <c r="AI78" s="199"/>
      <c r="AJ78" s="199"/>
      <c r="AK78" s="199"/>
      <c r="AL78" s="199"/>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x14ac:dyDescent="0.25">
      <c r="A79" s="300">
        <v>4</v>
      </c>
      <c r="B79" s="339"/>
      <c r="C79" s="340"/>
      <c r="D79" s="302">
        <v>10</v>
      </c>
      <c r="E79" s="302">
        <v>10</v>
      </c>
      <c r="F79" s="303"/>
      <c r="G79" s="303"/>
      <c r="H79" s="302">
        <v>1</v>
      </c>
      <c r="I79" s="304">
        <f t="shared" si="32"/>
        <v>0</v>
      </c>
      <c r="J79" s="304">
        <f t="shared" si="33"/>
        <v>0</v>
      </c>
      <c r="K79" s="305">
        <f t="shared" si="34"/>
        <v>0</v>
      </c>
      <c r="L79" s="306"/>
      <c r="M79" s="306"/>
      <c r="N79" s="307">
        <f t="shared" si="35"/>
        <v>0</v>
      </c>
      <c r="O79" s="308">
        <f>(G79-M79)/E79*1000000</f>
        <v>0</v>
      </c>
      <c r="P79" s="309">
        <f>AVERAGE(N79:O79)</f>
        <v>0</v>
      </c>
      <c r="Q79" s="176"/>
      <c r="R79" s="176"/>
      <c r="S79" s="176"/>
      <c r="T79" s="176"/>
      <c r="U79" s="199"/>
      <c r="V79" s="199"/>
      <c r="W79" s="199"/>
      <c r="X79" s="199"/>
      <c r="Y79" s="199"/>
      <c r="Z79" s="199"/>
      <c r="AA79" s="199"/>
      <c r="AB79" s="199"/>
      <c r="AC79" s="199"/>
      <c r="AD79" s="199"/>
      <c r="AE79" s="199"/>
      <c r="AF79" s="199"/>
      <c r="AG79" s="199"/>
      <c r="AH79" s="199"/>
      <c r="AI79" s="199"/>
      <c r="AJ79" s="199"/>
      <c r="AK79" s="199"/>
      <c r="AL79" s="293"/>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x14ac:dyDescent="0.25">
      <c r="A80" s="300">
        <v>5</v>
      </c>
      <c r="B80" s="277"/>
      <c r="C80" s="341"/>
      <c r="D80" s="302">
        <v>10</v>
      </c>
      <c r="E80" s="302">
        <v>10</v>
      </c>
      <c r="F80" s="277"/>
      <c r="G80" s="303"/>
      <c r="H80" s="302">
        <v>1</v>
      </c>
      <c r="I80" s="304">
        <f t="shared" si="32"/>
        <v>0</v>
      </c>
      <c r="J80" s="304">
        <f t="shared" si="33"/>
        <v>0</v>
      </c>
      <c r="K80" s="305">
        <f>AVERAGE(I80:J80)</f>
        <v>0</v>
      </c>
      <c r="L80" s="296"/>
      <c r="M80" s="306"/>
      <c r="N80" s="307">
        <f t="shared" si="35"/>
        <v>0</v>
      </c>
      <c r="O80" s="308">
        <f>(G80-M80)/E80*1000000</f>
        <v>0</v>
      </c>
      <c r="P80" s="309">
        <f>AVERAGE(O80)</f>
        <v>0</v>
      </c>
      <c r="Q80" s="176"/>
      <c r="R80" s="176"/>
      <c r="S80" s="176"/>
      <c r="T80" s="176"/>
      <c r="U80" s="199"/>
      <c r="V80" s="199"/>
      <c r="W80" s="199"/>
      <c r="X80" s="199"/>
      <c r="Y80" s="199"/>
      <c r="Z80" s="199"/>
      <c r="AA80" s="199"/>
      <c r="AB80" s="199"/>
      <c r="AC80" s="199"/>
      <c r="AD80" s="199"/>
      <c r="AE80" s="199"/>
      <c r="AF80" s="199"/>
      <c r="AG80" s="199"/>
      <c r="AH80" s="199"/>
      <c r="AI80" s="199"/>
      <c r="AJ80" s="199"/>
      <c r="AK80" s="199"/>
      <c r="AL80" s="199"/>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x14ac:dyDescent="0.25">
      <c r="A81" s="300">
        <v>6</v>
      </c>
      <c r="B81" s="336"/>
      <c r="C81" s="337"/>
      <c r="D81" s="302">
        <v>10</v>
      </c>
      <c r="E81" s="302">
        <v>10</v>
      </c>
      <c r="F81" s="277"/>
      <c r="G81" s="303"/>
      <c r="H81" s="302">
        <v>1</v>
      </c>
      <c r="I81" s="304">
        <f>(F81-B81)*1000*H81/D81</f>
        <v>0</v>
      </c>
      <c r="J81" s="304">
        <f>(G81-C81)*1000*H81/E81</f>
        <v>0</v>
      </c>
      <c r="K81" s="305">
        <f>AVERAGE(I81:J81)</f>
        <v>0</v>
      </c>
      <c r="L81" s="296"/>
      <c r="M81" s="306"/>
      <c r="N81" s="307"/>
      <c r="O81" s="308"/>
      <c r="P81" s="309"/>
      <c r="Q81" s="176"/>
      <c r="R81" s="176"/>
      <c r="S81" s="176"/>
      <c r="T81" s="176"/>
      <c r="U81" s="199"/>
      <c r="V81" s="199"/>
      <c r="W81" s="199"/>
      <c r="X81" s="199"/>
      <c r="Y81" s="199"/>
      <c r="Z81" s="199"/>
      <c r="AA81" s="199"/>
      <c r="AB81" s="199"/>
      <c r="AC81" s="199"/>
      <c r="AD81" s="199"/>
      <c r="AE81" s="199"/>
      <c r="AF81" s="199"/>
      <c r="AG81" s="199"/>
      <c r="AH81" s="199"/>
      <c r="AI81" s="199"/>
      <c r="AJ81" s="199"/>
      <c r="AK81" s="199"/>
      <c r="AL81" s="293"/>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
      <c r="A82" s="314" t="s">
        <v>104</v>
      </c>
      <c r="B82" s="340"/>
      <c r="C82" s="340"/>
      <c r="D82" s="302">
        <v>10</v>
      </c>
      <c r="E82" s="302">
        <v>10</v>
      </c>
      <c r="F82" s="303"/>
      <c r="G82" s="315"/>
      <c r="H82" s="302">
        <v>1</v>
      </c>
      <c r="I82" s="304">
        <f t="shared" ref="I82" si="36">(F82-B82)*1000*H82/D82</f>
        <v>0</v>
      </c>
      <c r="J82" s="304">
        <f t="shared" ref="J82" si="37">(G82-C82)*1000*H82/E82</f>
        <v>0</v>
      </c>
      <c r="K82" s="305">
        <f t="shared" ref="K82" si="38">AVERAGE(I82:J82)</f>
        <v>0</v>
      </c>
      <c r="L82" s="306"/>
      <c r="M82" s="316"/>
      <c r="N82" s="307">
        <f t="shared" ref="N82" si="39">(F82-L82)/E82*1000000</f>
        <v>0</v>
      </c>
      <c r="O82" s="308">
        <f>(G82-M82)/E82*1000000</f>
        <v>0</v>
      </c>
      <c r="P82" s="309">
        <f>AVERAGE(O82)</f>
        <v>0</v>
      </c>
      <c r="Q82" s="176"/>
      <c r="R82" s="176"/>
      <c r="S82" s="176"/>
      <c r="T82" s="176"/>
      <c r="U82" s="199"/>
      <c r="V82" s="199"/>
      <c r="W82" s="199"/>
      <c r="X82" s="199"/>
      <c r="Y82" s="199"/>
      <c r="Z82" s="199"/>
      <c r="AA82" s="199"/>
      <c r="AB82" s="199"/>
      <c r="AC82" s="199"/>
      <c r="AD82" s="199"/>
      <c r="AE82" s="199"/>
      <c r="AF82" s="199"/>
      <c r="AG82" s="199"/>
      <c r="AH82" s="199"/>
      <c r="AI82" s="199"/>
      <c r="AJ82" s="199"/>
      <c r="AK82" s="199"/>
      <c r="AL82" s="293"/>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x14ac:dyDescent="0.25">
      <c r="A83" s="318" t="s">
        <v>107</v>
      </c>
      <c r="B83" s="319"/>
      <c r="C83" s="319"/>
      <c r="D83" s="319"/>
      <c r="E83" s="319"/>
      <c r="F83" s="319"/>
      <c r="G83" s="319"/>
      <c r="H83" s="319"/>
      <c r="I83" s="319"/>
      <c r="J83" s="319"/>
      <c r="K83" s="319"/>
      <c r="L83" s="319"/>
      <c r="M83" s="319"/>
      <c r="N83" s="319"/>
      <c r="O83" s="320"/>
      <c r="P83" s="176"/>
      <c r="Q83" s="176"/>
      <c r="R83" s="176"/>
      <c r="S83" s="176"/>
      <c r="T83" s="176"/>
      <c r="U83" s="199"/>
      <c r="V83" s="199"/>
      <c r="W83" s="199"/>
      <c r="X83" s="199"/>
      <c r="Y83" s="199"/>
      <c r="Z83" s="199"/>
      <c r="AA83" s="199"/>
      <c r="AB83" s="199"/>
      <c r="AC83" s="199"/>
      <c r="AD83" s="199"/>
      <c r="AE83" s="199"/>
      <c r="AF83" s="199"/>
      <c r="AG83" s="199"/>
      <c r="AH83" s="199"/>
      <c r="AI83" s="199"/>
      <c r="AJ83" s="199"/>
      <c r="AK83" s="199"/>
      <c r="AL83" s="199"/>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ht="16.5" thickBot="1" x14ac:dyDescent="0.3">
      <c r="A84" s="298" t="s">
        <v>84</v>
      </c>
      <c r="B84" s="273" t="s">
        <v>176</v>
      </c>
      <c r="C84" s="273" t="s">
        <v>109</v>
      </c>
      <c r="D84" s="273" t="s">
        <v>177</v>
      </c>
      <c r="E84" s="273" t="s">
        <v>111</v>
      </c>
      <c r="F84" s="273" t="s">
        <v>178</v>
      </c>
      <c r="G84" s="273" t="s">
        <v>90</v>
      </c>
      <c r="H84" s="273" t="s">
        <v>112</v>
      </c>
      <c r="I84" s="273" t="s">
        <v>113</v>
      </c>
      <c r="J84" s="273" t="s">
        <v>114</v>
      </c>
      <c r="K84" s="273" t="s">
        <v>95</v>
      </c>
      <c r="L84" s="273"/>
      <c r="M84" s="273" t="s">
        <v>115</v>
      </c>
      <c r="N84" s="273" t="s">
        <v>116</v>
      </c>
      <c r="O84" s="299" t="s">
        <v>117</v>
      </c>
      <c r="P84" s="176"/>
      <c r="Q84" s="176"/>
      <c r="R84" s="176"/>
      <c r="S84" s="176"/>
      <c r="T84" s="176"/>
      <c r="U84" s="199"/>
      <c r="V84" s="199"/>
      <c r="W84" s="199"/>
      <c r="X84" s="199"/>
      <c r="Y84" s="199"/>
      <c r="Z84" s="199"/>
      <c r="AA84" s="199"/>
      <c r="AB84" s="199"/>
      <c r="AC84" s="199"/>
      <c r="AD84" s="199"/>
      <c r="AE84" s="199"/>
      <c r="AF84" s="199"/>
      <c r="AG84" s="199"/>
      <c r="AH84" s="199"/>
      <c r="AI84" s="199"/>
      <c r="AJ84" s="199"/>
      <c r="AK84" s="199"/>
      <c r="AL84" s="293"/>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x14ac:dyDescent="0.25">
      <c r="A85" s="455">
        <v>1</v>
      </c>
      <c r="B85" s="456"/>
      <c r="C85" s="456"/>
      <c r="D85" s="456"/>
      <c r="E85" s="457"/>
      <c r="F85" s="458"/>
      <c r="G85" s="458"/>
      <c r="H85" s="459" t="e">
        <f t="shared" ref="H85:I92" si="40">(F85-B85)*100/(D85-B85)</f>
        <v>#DIV/0!</v>
      </c>
      <c r="I85" s="459" t="e">
        <f t="shared" si="40"/>
        <v>#DIV/0!</v>
      </c>
      <c r="J85" s="460" t="e">
        <f>AVERAGE(H85:I85)</f>
        <v>#DIV/0!</v>
      </c>
      <c r="K85" s="461"/>
      <c r="L85" s="461"/>
      <c r="M85" s="460" t="e">
        <f t="shared" ref="M85:N87" si="41">((F85-K85)/D85)*100</f>
        <v>#DIV/0!</v>
      </c>
      <c r="N85" s="462" t="e">
        <f t="shared" si="41"/>
        <v>#DIV/0!</v>
      </c>
      <c r="O85" s="463" t="e">
        <f t="shared" ref="O85:O92" si="42">AVERAGE(M85:N85)</f>
        <v>#DIV/0!</v>
      </c>
      <c r="P85" s="176"/>
      <c r="Q85" s="176"/>
      <c r="R85" s="176"/>
      <c r="S85" s="176"/>
      <c r="T85" s="176"/>
      <c r="U85" s="199"/>
      <c r="V85" s="199"/>
      <c r="W85" s="199"/>
      <c r="X85" s="199"/>
      <c r="Y85" s="199"/>
      <c r="Z85" s="199"/>
      <c r="AA85" s="199"/>
      <c r="AB85" s="199"/>
      <c r="AC85" s="199"/>
      <c r="AD85" s="199"/>
      <c r="AE85" s="199"/>
      <c r="AF85" s="199"/>
      <c r="AG85" s="199"/>
      <c r="AH85" s="199"/>
      <c r="AI85" s="199"/>
      <c r="AJ85" s="199"/>
      <c r="AK85" s="199"/>
      <c r="AL85" s="199"/>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x14ac:dyDescent="0.25">
      <c r="A86" s="464">
        <v>2</v>
      </c>
      <c r="B86" s="342"/>
      <c r="C86" s="342"/>
      <c r="D86" s="342"/>
      <c r="E86" s="312"/>
      <c r="F86" s="301"/>
      <c r="G86" s="301"/>
      <c r="H86" s="258" t="e">
        <f t="shared" si="40"/>
        <v>#DIV/0!</v>
      </c>
      <c r="I86" s="258" t="e">
        <f t="shared" si="40"/>
        <v>#DIV/0!</v>
      </c>
      <c r="J86" s="321" t="e">
        <f>AVERAGE(H86:I86)</f>
        <v>#DIV/0!</v>
      </c>
      <c r="K86" s="306"/>
      <c r="L86" s="306"/>
      <c r="M86" s="321" t="e">
        <f t="shared" si="41"/>
        <v>#DIV/0!</v>
      </c>
      <c r="N86" s="322" t="e">
        <f t="shared" si="41"/>
        <v>#DIV/0!</v>
      </c>
      <c r="O86" s="465" t="e">
        <f t="shared" si="42"/>
        <v>#DIV/0!</v>
      </c>
      <c r="P86" s="176"/>
      <c r="Q86" s="176"/>
      <c r="R86" s="176"/>
      <c r="S86" s="176"/>
      <c r="T86" s="176"/>
      <c r="U86" s="199"/>
      <c r="V86" s="199"/>
      <c r="W86" s="199"/>
      <c r="X86" s="199"/>
      <c r="Y86" s="199"/>
      <c r="Z86" s="199"/>
      <c r="AA86" s="199"/>
      <c r="AB86" s="199"/>
      <c r="AC86" s="199"/>
      <c r="AD86" s="199"/>
      <c r="AE86" s="199"/>
      <c r="AF86" s="199"/>
      <c r="AG86" s="199"/>
      <c r="AH86" s="199"/>
      <c r="AI86" s="199"/>
      <c r="AJ86" s="199"/>
      <c r="AK86" s="199"/>
      <c r="AL86" s="199"/>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x14ac:dyDescent="0.25">
      <c r="A87" s="464">
        <v>3</v>
      </c>
      <c r="B87" s="342"/>
      <c r="C87" s="342"/>
      <c r="D87" s="342"/>
      <c r="E87" s="325"/>
      <c r="F87" s="301"/>
      <c r="G87" s="311"/>
      <c r="H87" s="258" t="e">
        <f t="shared" si="40"/>
        <v>#DIV/0!</v>
      </c>
      <c r="I87" s="258" t="e">
        <f t="shared" si="40"/>
        <v>#DIV/0!</v>
      </c>
      <c r="J87" s="321" t="e">
        <f>AVERAGE(I87)</f>
        <v>#DIV/0!</v>
      </c>
      <c r="K87" s="306"/>
      <c r="L87" s="306"/>
      <c r="M87" s="321" t="e">
        <f t="shared" si="41"/>
        <v>#DIV/0!</v>
      </c>
      <c r="N87" s="321" t="e">
        <f t="shared" si="41"/>
        <v>#DIV/0!</v>
      </c>
      <c r="O87" s="465" t="e">
        <f t="shared" si="42"/>
        <v>#DIV/0!</v>
      </c>
      <c r="P87" s="176"/>
      <c r="Q87" s="176"/>
      <c r="R87" s="176"/>
      <c r="S87" s="176"/>
      <c r="T87" s="176"/>
      <c r="U87" s="199"/>
      <c r="V87" s="199"/>
      <c r="W87" s="199"/>
      <c r="X87" s="199"/>
      <c r="Y87" s="199"/>
      <c r="Z87" s="199"/>
      <c r="AA87" s="199"/>
      <c r="AB87" s="199"/>
      <c r="AC87" s="199"/>
      <c r="AD87" s="199"/>
      <c r="AE87" s="199"/>
      <c r="AF87" s="199"/>
      <c r="AG87" s="199"/>
      <c r="AH87" s="199"/>
      <c r="AI87" s="199"/>
      <c r="AJ87" s="199"/>
      <c r="AK87" s="199"/>
      <c r="AL87" s="293"/>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x14ac:dyDescent="0.25">
      <c r="A88" s="464">
        <v>4</v>
      </c>
      <c r="B88" s="342"/>
      <c r="C88" s="342"/>
      <c r="D88" s="342"/>
      <c r="E88" s="325"/>
      <c r="F88" s="301"/>
      <c r="G88" s="311"/>
      <c r="H88" s="258" t="e">
        <f t="shared" si="40"/>
        <v>#DIV/0!</v>
      </c>
      <c r="I88" s="258" t="e">
        <f>(G88-C89)*100/(E88-C89)</f>
        <v>#DIV/0!</v>
      </c>
      <c r="J88" s="321" t="e">
        <f t="shared" ref="J88:J89" si="43">AVERAGE(H88:I88)</f>
        <v>#DIV/0!</v>
      </c>
      <c r="K88" s="306"/>
      <c r="L88" s="306"/>
      <c r="M88" s="321" t="e">
        <f>((F88-K88)/#REF!)*100</f>
        <v>#REF!</v>
      </c>
      <c r="N88" s="322" t="e">
        <f>((G88-L88)/E87)*100</f>
        <v>#DIV/0!</v>
      </c>
      <c r="O88" s="465" t="e">
        <f t="shared" si="42"/>
        <v>#REF!</v>
      </c>
      <c r="P88" s="176"/>
      <c r="Q88" s="176"/>
      <c r="R88" s="176"/>
      <c r="S88" s="176"/>
      <c r="T88" s="176"/>
      <c r="U88" s="199"/>
      <c r="V88" s="199"/>
      <c r="W88" s="199"/>
      <c r="X88" s="199"/>
      <c r="Y88" s="199"/>
      <c r="Z88" s="199"/>
      <c r="AA88" s="199"/>
      <c r="AB88" s="199"/>
      <c r="AC88" s="199"/>
      <c r="AD88" s="199"/>
      <c r="AE88" s="199"/>
      <c r="AF88" s="199"/>
      <c r="AG88" s="199"/>
      <c r="AH88" s="199"/>
      <c r="AI88" s="199"/>
      <c r="AJ88" s="199"/>
      <c r="AK88" s="199"/>
      <c r="AL88" s="199"/>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x14ac:dyDescent="0.25">
      <c r="A89" s="464">
        <v>5</v>
      </c>
      <c r="B89" s="342"/>
      <c r="C89" s="342"/>
      <c r="D89" s="342"/>
      <c r="E89" s="325"/>
      <c r="F89" s="301"/>
      <c r="G89" s="311"/>
      <c r="H89" s="258" t="e">
        <f t="shared" si="40"/>
        <v>#DIV/0!</v>
      </c>
      <c r="I89" s="258" t="e">
        <f>(G89-#REF!)*100/(E89-#REF!)</f>
        <v>#REF!</v>
      </c>
      <c r="J89" s="321" t="e">
        <f t="shared" si="43"/>
        <v>#DIV/0!</v>
      </c>
      <c r="K89" s="306"/>
      <c r="L89" s="306"/>
      <c r="M89" s="321" t="e">
        <f>((F89-K89)/#REF!)*100</f>
        <v>#REF!</v>
      </c>
      <c r="N89" s="322" t="e">
        <f>((G89-L89)/E89)*100</f>
        <v>#DIV/0!</v>
      </c>
      <c r="O89" s="465" t="e">
        <f t="shared" si="42"/>
        <v>#REF!</v>
      </c>
      <c r="P89" s="176"/>
      <c r="Q89" s="176"/>
      <c r="R89" s="176"/>
      <c r="S89" s="176"/>
      <c r="T89" s="176"/>
      <c r="U89" s="199"/>
      <c r="V89" s="199"/>
      <c r="W89" s="199"/>
      <c r="X89" s="199"/>
      <c r="Y89" s="199"/>
      <c r="Z89" s="199"/>
      <c r="AA89" s="199"/>
      <c r="AB89" s="199"/>
      <c r="AC89" s="199"/>
      <c r="AD89" s="199"/>
      <c r="AE89" s="199"/>
      <c r="AF89" s="199"/>
      <c r="AG89" s="199"/>
      <c r="AH89" s="199"/>
      <c r="AI89" s="199"/>
      <c r="AJ89" s="199"/>
      <c r="AK89" s="199"/>
      <c r="AL89" s="293"/>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x14ac:dyDescent="0.25">
      <c r="A90" s="464">
        <v>6</v>
      </c>
      <c r="B90" s="342"/>
      <c r="C90" s="342"/>
      <c r="D90" s="342"/>
      <c r="E90" s="312"/>
      <c r="F90" s="301"/>
      <c r="G90" s="301"/>
      <c r="H90" s="258" t="e">
        <f>(F90-B90)*100/(D90-B90)</f>
        <v>#DIV/0!</v>
      </c>
      <c r="I90" s="258" t="e">
        <f>(G90-#REF!)*100/(E90-#REF!)</f>
        <v>#REF!</v>
      </c>
      <c r="J90" s="321" t="e">
        <f>AVERAGE(H90:I90)</f>
        <v>#DIV/0!</v>
      </c>
      <c r="K90" s="306"/>
      <c r="L90" s="306"/>
      <c r="M90" s="321"/>
      <c r="N90" s="322"/>
      <c r="O90" s="465"/>
      <c r="P90" s="176"/>
      <c r="Q90" s="176"/>
      <c r="R90" s="176"/>
      <c r="S90" s="176"/>
      <c r="T90" s="176"/>
      <c r="U90" s="199"/>
      <c r="V90" s="199"/>
      <c r="W90" s="199"/>
      <c r="X90" s="199"/>
      <c r="Y90" s="199"/>
      <c r="Z90" s="199"/>
      <c r="AA90" s="199"/>
      <c r="AB90" s="199"/>
      <c r="AC90" s="199"/>
      <c r="AD90" s="199"/>
      <c r="AE90" s="199"/>
      <c r="AF90" s="199"/>
      <c r="AG90" s="199"/>
      <c r="AH90" s="199"/>
      <c r="AI90" s="199"/>
      <c r="AJ90" s="199"/>
      <c r="AK90" s="199"/>
      <c r="AL90" s="199"/>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x14ac:dyDescent="0.25">
      <c r="A91" s="466" t="s">
        <v>118</v>
      </c>
      <c r="B91" s="343"/>
      <c r="C91" s="343"/>
      <c r="D91" s="343"/>
      <c r="E91" s="301"/>
      <c r="F91" s="301"/>
      <c r="G91" s="301"/>
      <c r="H91" s="258" t="e">
        <f t="shared" si="40"/>
        <v>#DIV/0!</v>
      </c>
      <c r="I91" s="258" t="e">
        <f t="shared" si="40"/>
        <v>#DIV/0!</v>
      </c>
      <c r="J91" s="321" t="e">
        <f t="shared" ref="J91:J92" si="44">AVERAGE(H91:I91)</f>
        <v>#DIV/0!</v>
      </c>
      <c r="K91" s="306"/>
      <c r="L91" s="327"/>
      <c r="M91" s="321" t="e">
        <f>((F91-K91)/D91)*100</f>
        <v>#DIV/0!</v>
      </c>
      <c r="N91" s="322" t="e">
        <f>((G91-L91)/E91)*100</f>
        <v>#DIV/0!</v>
      </c>
      <c r="O91" s="465" t="e">
        <f t="shared" si="42"/>
        <v>#DIV/0!</v>
      </c>
      <c r="P91" s="176"/>
      <c r="Q91" s="176"/>
      <c r="R91" s="176"/>
      <c r="S91" s="176"/>
      <c r="T91" s="176"/>
      <c r="U91" s="199"/>
      <c r="V91" s="199"/>
      <c r="W91" s="199"/>
      <c r="X91" s="199"/>
      <c r="Y91" s="199"/>
      <c r="Z91" s="199"/>
      <c r="AA91" s="199"/>
      <c r="AB91" s="199"/>
      <c r="AC91" s="199"/>
      <c r="AD91" s="199"/>
      <c r="AE91" s="199"/>
      <c r="AF91" s="199"/>
      <c r="AG91" s="199"/>
      <c r="AH91" s="199"/>
      <c r="AI91" s="199"/>
      <c r="AJ91" s="199"/>
      <c r="AK91" s="199"/>
      <c r="AL91" s="199"/>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ht="16.5" thickBot="1" x14ac:dyDescent="0.3">
      <c r="A92" s="467" t="s">
        <v>119</v>
      </c>
      <c r="B92" s="468"/>
      <c r="C92" s="468"/>
      <c r="D92" s="468"/>
      <c r="E92" s="468"/>
      <c r="F92" s="468"/>
      <c r="G92" s="468"/>
      <c r="H92" s="469" t="e">
        <f t="shared" si="40"/>
        <v>#DIV/0!</v>
      </c>
      <c r="I92" s="469" t="e">
        <f t="shared" si="40"/>
        <v>#DIV/0!</v>
      </c>
      <c r="J92" s="470" t="e">
        <f t="shared" si="44"/>
        <v>#DIV/0!</v>
      </c>
      <c r="K92" s="471"/>
      <c r="L92" s="471"/>
      <c r="M92" s="470" t="e">
        <f>((F92-K92)/D92)*100</f>
        <v>#DIV/0!</v>
      </c>
      <c r="N92" s="472" t="e">
        <f>((G92-L92)/E92)*100</f>
        <v>#DIV/0!</v>
      </c>
      <c r="O92" s="473" t="e">
        <f t="shared" si="42"/>
        <v>#DIV/0!</v>
      </c>
      <c r="P92" s="176"/>
      <c r="Q92" s="176"/>
      <c r="R92" s="176"/>
      <c r="S92" s="176"/>
      <c r="T92" s="176"/>
      <c r="U92" s="199"/>
      <c r="V92" s="199"/>
      <c r="W92" s="199"/>
      <c r="X92" s="199"/>
      <c r="Y92" s="199"/>
      <c r="Z92" s="199"/>
      <c r="AA92" s="199"/>
      <c r="AB92" s="199"/>
      <c r="AC92" s="199"/>
      <c r="AD92" s="199"/>
      <c r="AE92" s="199"/>
      <c r="AF92" s="199"/>
      <c r="AG92" s="199"/>
      <c r="AH92" s="199"/>
      <c r="AI92" s="199"/>
      <c r="AJ92" s="199"/>
      <c r="AK92" s="199"/>
      <c r="AL92" s="293"/>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x14ac:dyDescent="0.25">
      <c r="A93" s="474" t="s">
        <v>196</v>
      </c>
      <c r="B93" s="475"/>
      <c r="C93" s="475"/>
      <c r="D93" s="475"/>
      <c r="E93" s="476"/>
      <c r="F93" s="343"/>
      <c r="G93" s="343"/>
      <c r="H93" s="280"/>
      <c r="I93" s="280"/>
      <c r="J93" s="282"/>
      <c r="K93" s="477"/>
      <c r="L93" s="477"/>
      <c r="M93" s="282"/>
      <c r="N93" s="478"/>
      <c r="O93" s="479"/>
      <c r="P93" s="176"/>
      <c r="Q93" s="176"/>
      <c r="R93" s="176"/>
      <c r="S93" s="176"/>
      <c r="T93" s="176"/>
      <c r="U93" s="199"/>
      <c r="V93" s="199"/>
      <c r="W93" s="199"/>
      <c r="X93" s="199"/>
      <c r="Y93" s="199"/>
      <c r="Z93" s="199"/>
      <c r="AA93" s="199"/>
      <c r="AB93" s="199"/>
      <c r="AC93" s="199"/>
      <c r="AD93" s="199"/>
      <c r="AE93" s="199"/>
      <c r="AF93" s="199"/>
      <c r="AG93" s="199"/>
      <c r="AH93" s="199"/>
      <c r="AI93" s="199"/>
      <c r="AJ93" s="199"/>
      <c r="AK93" s="199"/>
      <c r="AL93" s="199"/>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x14ac:dyDescent="0.25">
      <c r="A94" s="300" t="s">
        <v>197</v>
      </c>
      <c r="B94" s="342"/>
      <c r="C94" s="342"/>
      <c r="D94" s="342"/>
      <c r="E94" s="312"/>
      <c r="F94" s="301"/>
      <c r="G94" s="301"/>
      <c r="H94" s="258"/>
      <c r="I94" s="258"/>
      <c r="J94" s="321"/>
      <c r="K94" s="306"/>
      <c r="L94" s="306"/>
      <c r="M94" s="321"/>
      <c r="N94" s="322"/>
      <c r="O94" s="323"/>
      <c r="P94" s="176"/>
      <c r="Q94" s="176"/>
      <c r="R94" s="176"/>
      <c r="S94" s="176"/>
      <c r="T94" s="176"/>
      <c r="U94" s="199"/>
      <c r="V94" s="199"/>
      <c r="W94" s="199"/>
      <c r="X94" s="199"/>
      <c r="Y94" s="199"/>
      <c r="Z94" s="199"/>
      <c r="AA94" s="199"/>
      <c r="AB94" s="199"/>
      <c r="AC94" s="199"/>
      <c r="AD94" s="199"/>
      <c r="AE94" s="199"/>
      <c r="AF94" s="199"/>
      <c r="AG94" s="199"/>
      <c r="AH94" s="199"/>
      <c r="AI94" s="199"/>
      <c r="AJ94" s="199"/>
      <c r="AK94" s="199"/>
      <c r="AL94" s="199"/>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5" thickBot="1" x14ac:dyDescent="0.3">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480" t="s">
        <v>198</v>
      </c>
      <c r="AD96" s="481" t="s">
        <v>199</v>
      </c>
      <c r="AE96" s="481" t="s">
        <v>200</v>
      </c>
      <c r="AF96" s="481" t="s">
        <v>201</v>
      </c>
      <c r="AG96" s="481" t="s">
        <v>134</v>
      </c>
      <c r="AH96" s="48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x14ac:dyDescent="0.25">
      <c r="A97" s="378">
        <f t="shared" ref="A97:A103" si="45">I33</f>
        <v>12.599042691211718</v>
      </c>
      <c r="B97" s="379"/>
      <c r="C97" s="379">
        <f t="shared" ref="C97:C103" si="46">B41</f>
        <v>230.2</v>
      </c>
      <c r="D97" s="482">
        <f>J62</f>
        <v>29.338743702305209</v>
      </c>
      <c r="E97" s="380">
        <f>K51*1000</f>
        <v>905.00000000001137</v>
      </c>
      <c r="F97" s="381" t="e">
        <f>AVERAGE(B97)</f>
        <v>#DIV/0!</v>
      </c>
      <c r="G97" s="379" t="e">
        <f t="shared" ref="G97:G103" si="47">(F97-B97)*100/F97</f>
        <v>#DIV/0!</v>
      </c>
      <c r="H97" s="379">
        <v>10</v>
      </c>
      <c r="I97" s="382"/>
      <c r="J97" s="365" t="e">
        <f>INDEX(A97:A101,MATCH(1,I97:I101,0))</f>
        <v>#N/A</v>
      </c>
      <c r="K97" s="365" t="e">
        <f>INDEX(D97:D102,MATCH(1,I98:I102,0))</f>
        <v>#N/A</v>
      </c>
      <c r="L97" s="365" t="e">
        <f>INDEX(E97:E102,MATCH(1,I98:I102,0))</f>
        <v>#N/A</v>
      </c>
      <c r="M97" s="365" t="e">
        <f>J97</f>
        <v>#N/A</v>
      </c>
      <c r="N97" s="365" t="e">
        <f>K97</f>
        <v>#N/A</v>
      </c>
      <c r="O97" s="365" t="e">
        <f>L97</f>
        <v>#N/A</v>
      </c>
      <c r="P97" s="383">
        <v>0</v>
      </c>
      <c r="Q97" s="384"/>
      <c r="R97" s="385">
        <f>AVERAGE(C97)</f>
        <v>230.2</v>
      </c>
      <c r="S97" s="386"/>
      <c r="T97" s="387"/>
      <c r="U97" s="388"/>
      <c r="V97" s="387">
        <f>INDEX(A97:A103,MATCH(1,U97:U103,0))</f>
        <v>20.744218825378336</v>
      </c>
      <c r="W97" s="387">
        <f>INDEX(D97:D103,MATCH(1,U97:U103,0))</f>
        <v>31.323443011935773</v>
      </c>
      <c r="X97" s="387">
        <f>INDEX(E97:E103,MATCH(1,U98:U103,0))</f>
        <v>620.00000000000944</v>
      </c>
      <c r="Y97" s="386">
        <f>IF(AB97=1,INDEX(A97:A101,MATCH(1,AX97:AX101,0)),V97)</f>
        <v>20.744218825378336</v>
      </c>
      <c r="Z97" s="386">
        <f>IF(AB97=1,INDEX(D97:D101,MATCH(1,AX97:AX101,0)),W97)</f>
        <v>31.323443011935773</v>
      </c>
      <c r="AA97" s="386">
        <f>IF(AB97=1,INDEX(E97:E101,MATCH(1,AX97:AX101,0)),X97)</f>
        <v>620.00000000000944</v>
      </c>
      <c r="AB97" s="389">
        <v>0</v>
      </c>
      <c r="AC97" s="483" t="str">
        <f t="shared" ref="AC97:AC103" si="48">IF(A97&lt;$V$97,"",1)</f>
        <v/>
      </c>
      <c r="AD97" s="484" t="str">
        <f t="shared" ref="AD97:AD102" si="49">IF(ISNUMBER(AC97),AC97*D97,"")</f>
        <v/>
      </c>
      <c r="AE97" s="485">
        <f>AVERAGE(INDEX(D97:D103, MATCH(1, U97:U103, 0)):D103)</f>
        <v>32.062383460309789</v>
      </c>
      <c r="AF97" s="486">
        <f>IF(E97&lt;1000,IF(D97&lt;$AE$99,2,IF(C97&lt;100,1,2)),2)</f>
        <v>2</v>
      </c>
      <c r="AG97" s="487">
        <f>IF(INDEX(A97:A103,MATCH(3,AF97:AF103,0))&gt;V97,V97,INDEX(A97:A103,MATCH(3,AF97:AF103,0)))</f>
        <v>15.021158707057113</v>
      </c>
      <c r="AH97" s="485">
        <f>INDEX(D97:D103,MATCH(1,AF97:AF103,0))</f>
        <v>30.437451016274331</v>
      </c>
      <c r="AI97" s="391">
        <f>INDEX(E97:E103,MATCH(1,AF97:AF103,0))</f>
        <v>620.00000000000944</v>
      </c>
      <c r="AJ97" s="392">
        <v>1000</v>
      </c>
      <c r="AK97" s="393">
        <f>IF(AND(ISNUMBER(AG97), AG97&lt;AJ97), AI97,"")</f>
        <v>620.00000000000944</v>
      </c>
      <c r="AL97" s="391"/>
      <c r="AM97" s="393">
        <f>IF((AJ97&gt;AK97),1,2)</f>
        <v>1</v>
      </c>
      <c r="AN97" s="394">
        <f>IF(AQ97=1,INDEX(A97:A103,MATCH(1,AY97:AY103,0)),AG97)</f>
        <v>15.021158707057113</v>
      </c>
      <c r="AO97" s="391">
        <f>IF(AQ97=1,INDEX(D97:D103,MATCH(1,AY97:AY103,0)),AH97)</f>
        <v>30.437451016274331</v>
      </c>
      <c r="AP97" s="391">
        <f>IF(AQ97=1,INDEX(E97:E103,MATCH(1,AY97:AY103,0)),AI97)</f>
        <v>620.00000000000944</v>
      </c>
      <c r="AQ97" s="395">
        <v>0</v>
      </c>
      <c r="AR97" s="396"/>
      <c r="AS97" s="397">
        <f>D15</f>
        <v>22.277227722772277</v>
      </c>
      <c r="AT97" s="391">
        <f>J68</f>
        <v>31.719704596772154</v>
      </c>
      <c r="AU97" s="391">
        <f>K57*1000</f>
        <v>554.99999999999443</v>
      </c>
      <c r="AV97" s="391">
        <f>J69</f>
        <v>32.801323908683798</v>
      </c>
      <c r="AW97" s="398"/>
      <c r="AX97" s="399"/>
      <c r="AY97" s="400"/>
    </row>
    <row r="98" spans="1:51" s="401" customFormat="1" x14ac:dyDescent="0.25">
      <c r="A98" s="378">
        <f t="shared" si="45"/>
        <v>15.021158707057113</v>
      </c>
      <c r="B98" s="379"/>
      <c r="C98" s="379">
        <f t="shared" si="46"/>
        <v>201.6</v>
      </c>
      <c r="D98" s="482">
        <f t="shared" ref="D98:D102" si="50">J63</f>
        <v>29.791046660026304</v>
      </c>
      <c r="E98" s="380">
        <f t="shared" ref="E98:E103" si="51">K52*1000</f>
        <v>879.99999999999193</v>
      </c>
      <c r="F98" s="381" t="e">
        <f t="shared" ref="F98:F103" si="52">AVERAGE(B97:B98)</f>
        <v>#DIV/0!</v>
      </c>
      <c r="G98" s="379" t="e">
        <f t="shared" si="47"/>
        <v>#DIV/0!</v>
      </c>
      <c r="H98" s="379">
        <v>10</v>
      </c>
      <c r="I98" s="365" t="e">
        <f>IF(AND(G97&gt;H97,G98&gt;H98),1,2)</f>
        <v>#DIV/0!</v>
      </c>
      <c r="J98" s="365"/>
      <c r="K98" s="365"/>
      <c r="L98" s="365"/>
      <c r="M98" s="382"/>
      <c r="N98" s="365"/>
      <c r="O98" s="365"/>
      <c r="P98" s="365"/>
      <c r="Q98" s="384"/>
      <c r="R98" s="385">
        <f t="shared" ref="R98:R103" si="53">AVERAGE(C97:C98)</f>
        <v>215.89999999999998</v>
      </c>
      <c r="S98" s="386">
        <f t="shared" ref="S98:S103" si="54">(R98-C98)*100/R98</f>
        <v>6.6234367762853097</v>
      </c>
      <c r="T98" s="387">
        <v>10</v>
      </c>
      <c r="U98" s="402">
        <f t="shared" ref="U98:U103" si="55">IF(AND(S98&gt;T98,S99&lt;T99),1,2)</f>
        <v>2</v>
      </c>
      <c r="V98" s="387"/>
      <c r="W98" s="387"/>
      <c r="X98" s="387"/>
      <c r="Y98" s="386"/>
      <c r="Z98" s="386"/>
      <c r="AA98" s="386"/>
      <c r="AB98" s="403"/>
      <c r="AC98" s="483" t="str">
        <f t="shared" si="48"/>
        <v/>
      </c>
      <c r="AD98" s="484" t="str">
        <f t="shared" si="49"/>
        <v/>
      </c>
      <c r="AE98" s="485">
        <f>_xlfn.STDEV.S(INDEX(D97:D103, MATCH(1, U97:U103, 0)):D103)</f>
        <v>1.0450196038765849</v>
      </c>
      <c r="AF98" s="486">
        <f>IF(AF97=2,3,IF(E98&lt;1000,IF(D98&lt;$AE$99,2,IF(C98&lt;100,1,2)),2))</f>
        <v>3</v>
      </c>
      <c r="AG98" s="485"/>
      <c r="AH98" s="485"/>
      <c r="AI98" s="391"/>
      <c r="AJ98" s="391"/>
      <c r="AK98" s="391"/>
      <c r="AL98" s="391"/>
      <c r="AM98" s="391"/>
      <c r="AN98" s="391"/>
      <c r="AO98" s="391"/>
      <c r="AP98" s="391"/>
      <c r="AQ98" s="391"/>
      <c r="AR98" s="396"/>
      <c r="AS98" s="397"/>
      <c r="AT98" s="391"/>
      <c r="AU98" s="391"/>
      <c r="AV98" s="391"/>
      <c r="AW98" s="398"/>
      <c r="AX98" s="404"/>
      <c r="AY98" s="405">
        <v>1</v>
      </c>
    </row>
    <row r="99" spans="1:51" s="401" customFormat="1" x14ac:dyDescent="0.25">
      <c r="A99" s="378">
        <f t="shared" si="45"/>
        <v>16.05313321119398</v>
      </c>
      <c r="B99" s="379"/>
      <c r="C99" s="379">
        <f t="shared" si="46"/>
        <v>95.4</v>
      </c>
      <c r="D99" s="482">
        <f t="shared" si="50"/>
        <v>30.930940766894938</v>
      </c>
      <c r="E99" s="380">
        <f>K53*1000</f>
        <v>709.9999999999884</v>
      </c>
      <c r="F99" s="381" t="e">
        <f t="shared" si="52"/>
        <v>#DIV/0!</v>
      </c>
      <c r="G99" s="379" t="e">
        <f t="shared" si="47"/>
        <v>#DIV/0!</v>
      </c>
      <c r="H99" s="379">
        <v>10</v>
      </c>
      <c r="I99" s="365" t="e">
        <f>IF(AND(G98&gt;H98,G99&gt;H99,G100&lt;H100),1,2)</f>
        <v>#DIV/0!</v>
      </c>
      <c r="J99" s="365"/>
      <c r="K99" s="365"/>
      <c r="L99" s="365"/>
      <c r="M99" s="365"/>
      <c r="N99" s="365"/>
      <c r="O99" s="365"/>
      <c r="P99" s="365"/>
      <c r="Q99" s="384"/>
      <c r="R99" s="385">
        <f t="shared" si="53"/>
        <v>148.5</v>
      </c>
      <c r="S99" s="386">
        <f t="shared" si="54"/>
        <v>35.757575757575751</v>
      </c>
      <c r="T99" s="387">
        <v>10</v>
      </c>
      <c r="U99" s="402">
        <f t="shared" si="55"/>
        <v>2</v>
      </c>
      <c r="V99" s="387"/>
      <c r="W99" s="387"/>
      <c r="X99" s="387"/>
      <c r="Y99" s="386"/>
      <c r="Z99" s="386"/>
      <c r="AA99" s="386"/>
      <c r="AB99" s="403"/>
      <c r="AC99" s="483" t="str">
        <f t="shared" si="48"/>
        <v/>
      </c>
      <c r="AD99" s="484" t="str">
        <f t="shared" si="49"/>
        <v/>
      </c>
      <c r="AE99" s="485">
        <f>IF(AE103&lt;10,(AE97-AE98),2)</f>
        <v>31.017363856433203</v>
      </c>
      <c r="AF99" s="486">
        <f t="shared" ref="AF99:AF101" si="56">IF(AF98=2,3,IF(E98&lt;1000,IF(D98&lt;$AE$99,2,IF(C98&lt;100,1,2)),2))</f>
        <v>2</v>
      </c>
      <c r="AG99" s="485"/>
      <c r="AH99" s="485"/>
      <c r="AI99" s="391"/>
      <c r="AJ99" s="391"/>
      <c r="AK99" s="391"/>
      <c r="AL99" s="391"/>
      <c r="AM99" s="391"/>
      <c r="AN99" s="391"/>
      <c r="AO99" s="391"/>
      <c r="AP99" s="391"/>
      <c r="AQ99" s="391"/>
      <c r="AR99" s="396"/>
      <c r="AS99" s="397"/>
      <c r="AT99" s="391"/>
      <c r="AU99" s="391"/>
      <c r="AV99" s="391"/>
      <c r="AW99" s="398"/>
      <c r="AX99" s="404">
        <v>1</v>
      </c>
      <c r="AY99" s="405"/>
    </row>
    <row r="100" spans="1:51" s="401" customFormat="1" x14ac:dyDescent="0.25">
      <c r="A100" s="378">
        <f t="shared" si="45"/>
        <v>17.034609783154703</v>
      </c>
      <c r="B100" s="379"/>
      <c r="C100" s="379">
        <f t="shared" si="46"/>
        <v>68.599999999999994</v>
      </c>
      <c r="D100" s="482">
        <f t="shared" si="50"/>
        <v>31.921040436233334</v>
      </c>
      <c r="E100" s="380">
        <f t="shared" si="51"/>
        <v>669.99999999999284</v>
      </c>
      <c r="F100" s="381" t="e">
        <f t="shared" si="52"/>
        <v>#DIV/0!</v>
      </c>
      <c r="G100" s="379" t="e">
        <f t="shared" si="47"/>
        <v>#DIV/0!</v>
      </c>
      <c r="H100" s="379">
        <v>10</v>
      </c>
      <c r="I100" s="365" t="e">
        <f>IF(AND(G99&gt;H99,G100&gt;H100,G101&lt;H101),1,2)</f>
        <v>#DIV/0!</v>
      </c>
      <c r="J100" s="365"/>
      <c r="K100" s="365"/>
      <c r="L100" s="365"/>
      <c r="M100" s="365"/>
      <c r="N100" s="365"/>
      <c r="O100" s="365"/>
      <c r="P100" s="365"/>
      <c r="Q100" s="384"/>
      <c r="R100" s="385">
        <f t="shared" si="53"/>
        <v>82</v>
      </c>
      <c r="S100" s="386">
        <f t="shared" si="54"/>
        <v>16.341463414634152</v>
      </c>
      <c r="T100" s="387">
        <v>10</v>
      </c>
      <c r="U100" s="402">
        <f t="shared" si="55"/>
        <v>2</v>
      </c>
      <c r="V100" s="387"/>
      <c r="W100" s="387"/>
      <c r="X100" s="387"/>
      <c r="Y100" s="386"/>
      <c r="Z100" s="386"/>
      <c r="AA100" s="386"/>
      <c r="AB100" s="403"/>
      <c r="AC100" s="483" t="str">
        <f t="shared" si="48"/>
        <v/>
      </c>
      <c r="AD100" s="484" t="str">
        <f>IF(ISNUMBER(AC100),AC100*D100,"")</f>
        <v/>
      </c>
      <c r="AE100" s="485"/>
      <c r="AF100" s="486">
        <f t="shared" si="56"/>
        <v>3</v>
      </c>
      <c r="AG100" s="485"/>
      <c r="AH100" s="485"/>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x14ac:dyDescent="0.25">
      <c r="A101" s="378">
        <f t="shared" si="45"/>
        <v>18.721733926274311</v>
      </c>
      <c r="B101" s="379"/>
      <c r="C101" s="379">
        <f t="shared" si="46"/>
        <v>55.2</v>
      </c>
      <c r="D101" s="482">
        <f t="shared" si="50"/>
        <v>30.437451016274331</v>
      </c>
      <c r="E101" s="380">
        <f t="shared" si="51"/>
        <v>620.00000000000944</v>
      </c>
      <c r="F101" s="381" t="e">
        <f t="shared" si="52"/>
        <v>#DIV/0!</v>
      </c>
      <c r="G101" s="379" t="e">
        <f t="shared" si="47"/>
        <v>#DIV/0!</v>
      </c>
      <c r="H101" s="379">
        <v>10</v>
      </c>
      <c r="I101" s="365" t="e">
        <f>IF(AND(G100&gt;H100,G101&gt;H101),1,2)</f>
        <v>#DIV/0!</v>
      </c>
      <c r="J101" s="365"/>
      <c r="K101" s="365"/>
      <c r="L101" s="365"/>
      <c r="M101" s="365"/>
      <c r="N101" s="365"/>
      <c r="O101" s="365"/>
      <c r="P101" s="365"/>
      <c r="Q101" s="384"/>
      <c r="R101" s="385">
        <f t="shared" si="53"/>
        <v>61.9</v>
      </c>
      <c r="S101" s="386">
        <f t="shared" si="54"/>
        <v>10.823909531502416</v>
      </c>
      <c r="T101" s="387">
        <v>10</v>
      </c>
      <c r="U101" s="402">
        <f t="shared" si="55"/>
        <v>2</v>
      </c>
      <c r="V101" s="387"/>
      <c r="W101" s="387"/>
      <c r="X101" s="387"/>
      <c r="Y101" s="386"/>
      <c r="Z101" s="386"/>
      <c r="AA101" s="386"/>
      <c r="AB101" s="403"/>
      <c r="AC101" s="483" t="str">
        <f t="shared" si="48"/>
        <v/>
      </c>
      <c r="AD101" s="484" t="str">
        <f t="shared" si="49"/>
        <v/>
      </c>
      <c r="AE101" s="485"/>
      <c r="AF101" s="486">
        <f t="shared" si="56"/>
        <v>1</v>
      </c>
      <c r="AG101" s="485"/>
      <c r="AH101" s="485"/>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45" customHeight="1" x14ac:dyDescent="0.25">
      <c r="A102" s="378">
        <f t="shared" si="45"/>
        <v>20.744218825378336</v>
      </c>
      <c r="B102" s="379"/>
      <c r="C102" s="379">
        <f t="shared" si="46"/>
        <v>39.6</v>
      </c>
      <c r="D102" s="482">
        <f t="shared" si="50"/>
        <v>31.323443011935773</v>
      </c>
      <c r="E102" s="380">
        <f t="shared" si="51"/>
        <v>519.99999999998715</v>
      </c>
      <c r="F102" s="381" t="e">
        <f t="shared" si="52"/>
        <v>#DIV/0!</v>
      </c>
      <c r="G102" s="379" t="e">
        <f t="shared" si="47"/>
        <v>#DIV/0!</v>
      </c>
      <c r="H102" s="379">
        <v>10</v>
      </c>
      <c r="I102" s="365" t="e">
        <f>IF(AND(G101&gt;H101,G102&gt;H102),1,2)</f>
        <v>#DIV/0!</v>
      </c>
      <c r="J102" s="365"/>
      <c r="K102" s="365"/>
      <c r="L102" s="365"/>
      <c r="M102" s="365"/>
      <c r="N102" s="365"/>
      <c r="O102" s="365"/>
      <c r="P102" s="365"/>
      <c r="Q102" s="384"/>
      <c r="R102" s="385">
        <f t="shared" si="53"/>
        <v>47.400000000000006</v>
      </c>
      <c r="S102" s="386">
        <f t="shared" si="54"/>
        <v>16.455696202531652</v>
      </c>
      <c r="T102" s="387">
        <v>10</v>
      </c>
      <c r="U102" s="402">
        <f t="shared" si="55"/>
        <v>1</v>
      </c>
      <c r="V102" s="387"/>
      <c r="W102" s="387"/>
      <c r="X102" s="387"/>
      <c r="Y102" s="386"/>
      <c r="Z102" s="386"/>
      <c r="AA102" s="386"/>
      <c r="AB102" s="403"/>
      <c r="AC102" s="483">
        <f t="shared" si="48"/>
        <v>1</v>
      </c>
      <c r="AD102" s="484">
        <f t="shared" si="49"/>
        <v>31.323443011935773</v>
      </c>
      <c r="AE102" s="485"/>
      <c r="AF102" s="486">
        <f>IF(AF101=2,3,IF(E102&lt;1000,IF(D102&lt;$AE$99,2,IF(C102&lt;100,1,2)),2))</f>
        <v>1</v>
      </c>
      <c r="AG102" s="485"/>
      <c r="AH102" s="485"/>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45" customHeight="1" x14ac:dyDescent="0.25">
      <c r="A103" s="378">
        <f t="shared" si="45"/>
        <v>22.641273170668914</v>
      </c>
      <c r="B103" s="379"/>
      <c r="C103" s="379">
        <f t="shared" si="46"/>
        <v>43.3</v>
      </c>
      <c r="D103" s="379">
        <f>J69</f>
        <v>32.801323908683798</v>
      </c>
      <c r="E103" s="380">
        <f t="shared" si="51"/>
        <v>554.99999999999443</v>
      </c>
      <c r="F103" s="381" t="e">
        <f t="shared" si="52"/>
        <v>#DIV/0!</v>
      </c>
      <c r="G103" s="379" t="e">
        <f t="shared" si="47"/>
        <v>#DIV/0!</v>
      </c>
      <c r="H103" s="379">
        <v>10</v>
      </c>
      <c r="I103" s="365" t="e">
        <f>IF(AND(G102&gt;H102,G103&gt;H103),1,2)</f>
        <v>#DIV/0!</v>
      </c>
      <c r="J103" s="365"/>
      <c r="K103" s="365"/>
      <c r="L103" s="365"/>
      <c r="M103" s="365"/>
      <c r="N103" s="365"/>
      <c r="O103" s="365"/>
      <c r="P103" s="365"/>
      <c r="Q103" s="384"/>
      <c r="R103" s="385">
        <f t="shared" si="53"/>
        <v>41.45</v>
      </c>
      <c r="S103" s="386">
        <f t="shared" si="54"/>
        <v>-4.463208685162833</v>
      </c>
      <c r="T103" s="387">
        <v>10</v>
      </c>
      <c r="U103" s="402">
        <f t="shared" si="55"/>
        <v>2</v>
      </c>
      <c r="V103" s="387"/>
      <c r="W103" s="387"/>
      <c r="X103" s="387"/>
      <c r="Y103" s="386"/>
      <c r="Z103" s="386"/>
      <c r="AA103" s="386"/>
      <c r="AB103" s="403"/>
      <c r="AC103" s="483">
        <f t="shared" si="48"/>
        <v>1</v>
      </c>
      <c r="AD103" s="484"/>
      <c r="AE103" s="488">
        <f>AE98/AE97*100</f>
        <v>3.2593322488648444</v>
      </c>
      <c r="AF103" s="486">
        <f>IF(AF102=2,3,IF(E103&lt;1000,IF(D103&lt;$AE$99,2,IF(C103&lt;100,1,2)),2))</f>
        <v>1</v>
      </c>
      <c r="AG103" s="485"/>
      <c r="AH103" s="485"/>
      <c r="AI103" s="391"/>
      <c r="AJ103" s="391"/>
      <c r="AK103" s="391"/>
      <c r="AL103" s="391"/>
      <c r="AM103" s="391"/>
      <c r="AN103" s="391"/>
      <c r="AO103" s="391"/>
      <c r="AP103" s="391"/>
      <c r="AQ103" s="391"/>
      <c r="AR103" s="396"/>
      <c r="AS103" s="397"/>
      <c r="AT103" s="391"/>
      <c r="AU103" s="391"/>
      <c r="AV103" s="391"/>
      <c r="AW103" s="398"/>
      <c r="AX103" s="404"/>
      <c r="AY103" s="405"/>
    </row>
    <row r="104" spans="1:51" ht="15.75" customHeight="1" thickBot="1" x14ac:dyDescent="0.3">
      <c r="AB104" s="178" t="s">
        <v>202</v>
      </c>
      <c r="AC104" s="489"/>
      <c r="AD104" s="489"/>
      <c r="AE104" s="490"/>
      <c r="AF104" s="490"/>
      <c r="AG104" s="490"/>
      <c r="AH104" s="490"/>
    </row>
    <row r="105" spans="1:51" ht="15.75" customHeight="1" x14ac:dyDescent="0.25">
      <c r="AB105" s="491"/>
      <c r="AC105" s="492" t="s">
        <v>203</v>
      </c>
      <c r="AD105" s="493"/>
      <c r="AE105" s="494"/>
      <c r="AF105" s="489"/>
      <c r="AG105" s="490"/>
      <c r="AH105" s="490"/>
      <c r="AI105" s="495"/>
    </row>
    <row r="106" spans="1:51" ht="15.75" customHeight="1" x14ac:dyDescent="0.25">
      <c r="AB106" s="496"/>
      <c r="AC106" s="497">
        <f>AVERAGE(D99:D101)</f>
        <v>31.096477406467539</v>
      </c>
      <c r="AD106" s="489"/>
      <c r="AE106" s="498">
        <f>AC106-AC107</f>
        <v>30.340956939481824</v>
      </c>
      <c r="AF106" s="489"/>
      <c r="AG106" s="489"/>
      <c r="AH106" s="490"/>
    </row>
    <row r="107" spans="1:51" ht="15.75" customHeight="1" x14ac:dyDescent="0.25">
      <c r="AB107" s="496"/>
      <c r="AC107" s="489">
        <f>STDEV(D99:D101)</f>
        <v>0.75552046698571529</v>
      </c>
      <c r="AD107" s="489"/>
      <c r="AE107" s="499"/>
      <c r="AF107" s="489">
        <f>STDEV(D100:D102)</f>
        <v>0.74645183645893654</v>
      </c>
      <c r="AG107" s="490"/>
      <c r="AH107" s="490"/>
    </row>
    <row r="108" spans="1:51" ht="16.5" thickBot="1" x14ac:dyDescent="0.3">
      <c r="I108" s="178" t="s">
        <v>185</v>
      </c>
      <c r="AB108" s="500" t="s">
        <v>204</v>
      </c>
      <c r="AC108" s="501">
        <f>AC107/AC106*100</f>
        <v>2.4296014532777268</v>
      </c>
      <c r="AD108" s="502" t="s">
        <v>205</v>
      </c>
      <c r="AE108" s="503"/>
      <c r="AF108" s="489"/>
      <c r="AG108" s="490"/>
      <c r="AH108" s="490"/>
    </row>
  </sheetData>
  <mergeCells count="22">
    <mergeCell ref="A23:C23"/>
    <mergeCell ref="AF23:AG23"/>
    <mergeCell ref="U5:AL7"/>
    <mergeCell ref="A6:D6"/>
    <mergeCell ref="V10:X11"/>
    <mergeCell ref="AI10:AK11"/>
    <mergeCell ref="V13:W13"/>
    <mergeCell ref="V14:W14"/>
    <mergeCell ref="AF16:AK17"/>
    <mergeCell ref="A17:C17"/>
    <mergeCell ref="AF18:AG20"/>
    <mergeCell ref="AF21:AG21"/>
    <mergeCell ref="AF22:AG22"/>
    <mergeCell ref="A49:P49"/>
    <mergeCell ref="A60:O60"/>
    <mergeCell ref="A74:P74"/>
    <mergeCell ref="AF24:AG24"/>
    <mergeCell ref="AF25:AG25"/>
    <mergeCell ref="A26:C26"/>
    <mergeCell ref="A31:R31"/>
    <mergeCell ref="D40:H40"/>
    <mergeCell ref="I40:M40"/>
  </mergeCells>
  <conditionalFormatting sqref="AI21">
    <cfRule type="cellIs" dxfId="29" priority="1" operator="lessThan">
      <formula>3</formula>
    </cfRule>
    <cfRule type="cellIs" dxfId="28" priority="2" operator="greaterThan">
      <formula>3.9</formula>
    </cfRule>
    <cfRule type="cellIs" dxfId="27" priority="3" operator="between">
      <formula>3</formula>
      <formula>3.9</formula>
    </cfRule>
    <cfRule type="cellIs" dxfId="26" priority="4" operator="between">
      <formula>3</formula>
      <formula>3.9</formula>
    </cfRule>
    <cfRule type="cellIs" dxfId="25" priority="8" operator="between">
      <formula>3.15</formula>
      <formula>3.85</formula>
    </cfRule>
  </conditionalFormatting>
  <conditionalFormatting sqref="AI25">
    <cfRule type="cellIs" dxfId="24" priority="7" operator="lessThan">
      <formula>812</formula>
    </cfRule>
  </conditionalFormatting>
  <conditionalFormatting sqref="AI25:AK25">
    <cfRule type="cellIs" dxfId="23" priority="5" operator="greaterThan">
      <formula>1000</formula>
    </cfRule>
  </conditionalFormatting>
  <conditionalFormatting sqref="AJ25:AK25">
    <cfRule type="cellIs" dxfId="22"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4BF9-C5B8-4316-8051-25EF42C9DC31}">
  <sheetPr>
    <pageSetUpPr fitToPage="1"/>
  </sheetPr>
  <dimension ref="A1:BF108"/>
  <sheetViews>
    <sheetView view="pageBreakPreview" topLeftCell="A31" zoomScale="60" zoomScaleNormal="70" workbookViewId="0">
      <selection activeCell="B13" sqref="B13"/>
    </sheetView>
  </sheetViews>
  <sheetFormatPr defaultColWidth="8.7109375" defaultRowHeight="15.75" customHeight="1" outlineLevelRow="2" x14ac:dyDescent="0.25"/>
  <cols>
    <col min="1" max="1" width="39.42578125" style="178" customWidth="1"/>
    <col min="2" max="2" width="27.140625" style="178" customWidth="1"/>
    <col min="3" max="3" width="32.28515625" style="178" customWidth="1"/>
    <col min="4" max="4" width="22.28515625" style="178" bestFit="1" customWidth="1"/>
    <col min="5" max="5" width="23.28515625" style="178" bestFit="1" customWidth="1"/>
    <col min="6" max="6" width="25.85546875" style="178" bestFit="1" customWidth="1"/>
    <col min="7" max="8" width="16.85546875" style="178" bestFit="1" customWidth="1"/>
    <col min="9" max="9" width="18.42578125" style="178" customWidth="1"/>
    <col min="10" max="10" width="15.85546875" style="178" bestFit="1" customWidth="1"/>
    <col min="11" max="11" width="16.42578125" style="178" bestFit="1" customWidth="1"/>
    <col min="12" max="12" width="18.7109375" style="178" customWidth="1"/>
    <col min="13" max="13" width="17.28515625" style="178" bestFit="1" customWidth="1"/>
    <col min="14" max="14" width="36.5703125" style="178" bestFit="1" customWidth="1"/>
    <col min="15" max="15" width="11.140625" style="178" bestFit="1" customWidth="1"/>
    <col min="16" max="16" width="18.85546875" style="178" bestFit="1" customWidth="1"/>
    <col min="17" max="17" width="11.140625" style="178" bestFit="1" customWidth="1"/>
    <col min="18" max="18" width="11.85546875" style="178" bestFit="1" customWidth="1"/>
    <col min="19" max="21" width="11.7109375" style="178" customWidth="1"/>
    <col min="22" max="22" width="27.28515625" style="178" bestFit="1" customWidth="1"/>
    <col min="23" max="25" width="11.7109375" style="178" customWidth="1"/>
    <col min="26" max="26" width="21.28515625" style="178" customWidth="1"/>
    <col min="27" max="33" width="11.7109375" style="178" customWidth="1"/>
    <col min="34" max="34" width="17.7109375" style="178" bestFit="1" customWidth="1"/>
    <col min="35" max="35" width="11.7109375" style="178" customWidth="1"/>
    <col min="36" max="36" width="34.140625" style="178" bestFit="1" customWidth="1"/>
    <col min="37" max="37" width="14.7109375" style="178" bestFit="1" customWidth="1"/>
    <col min="38" max="38" width="11.7109375" style="178" customWidth="1"/>
    <col min="39" max="39" width="9.42578125" style="178" customWidth="1"/>
    <col min="40" max="40" width="8.28515625" style="178" bestFit="1" customWidth="1"/>
    <col min="41" max="41" width="7.42578125" style="178" bestFit="1" customWidth="1"/>
    <col min="42" max="43" width="9.28515625" style="178" bestFit="1" customWidth="1"/>
    <col min="44" max="44" width="8.42578125" style="178" bestFit="1" customWidth="1"/>
    <col min="45" max="64" width="9.28515625" style="178" bestFit="1" customWidth="1"/>
    <col min="65" max="65" width="8.7109375" style="178" customWidth="1"/>
    <col min="66" max="16383" width="8.7109375" style="178"/>
    <col min="16384" max="16384" width="8.7109375" style="178" bestFit="1" customWidth="1"/>
  </cols>
  <sheetData>
    <row r="1" spans="1:58" x14ac:dyDescent="0.25">
      <c r="A1" s="175"/>
      <c r="B1" s="176" t="s">
        <v>0</v>
      </c>
      <c r="C1" s="177"/>
      <c r="D1" s="177"/>
      <c r="E1" s="177"/>
      <c r="F1" s="177"/>
      <c r="G1" s="177"/>
      <c r="H1" s="177"/>
      <c r="I1" s="177"/>
      <c r="J1" s="177"/>
      <c r="K1" s="177"/>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row>
    <row r="2" spans="1:58" x14ac:dyDescent="0.25">
      <c r="A2" s="179"/>
      <c r="B2" s="180" t="s">
        <v>1</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row>
    <row r="3" spans="1:58" x14ac:dyDescent="0.25">
      <c r="A3" s="179"/>
      <c r="B3" s="180" t="s">
        <v>2</v>
      </c>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row>
    <row r="4" spans="1:58" x14ac:dyDescent="0.25">
      <c r="A4" s="179"/>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row>
    <row r="5" spans="1:58" ht="34.5" customHeight="1" thickBot="1" x14ac:dyDescent="0.3">
      <c r="A5" s="179"/>
      <c r="B5" s="176"/>
      <c r="C5" s="176"/>
      <c r="D5" s="176"/>
      <c r="E5" s="176"/>
      <c r="F5" s="176"/>
      <c r="G5" s="176"/>
      <c r="H5" s="176"/>
      <c r="I5" s="176"/>
      <c r="J5" s="176"/>
      <c r="K5" s="176"/>
      <c r="L5" s="176"/>
      <c r="M5" s="176"/>
      <c r="N5" s="176"/>
      <c r="O5" s="176"/>
      <c r="P5" s="176"/>
      <c r="Q5" s="176"/>
      <c r="R5" s="176"/>
      <c r="S5" s="176"/>
      <c r="T5" s="176"/>
      <c r="U5" s="547" t="s">
        <v>206</v>
      </c>
      <c r="V5" s="547"/>
      <c r="W5" s="547"/>
      <c r="X5" s="547"/>
      <c r="Y5" s="547"/>
      <c r="Z5" s="547"/>
      <c r="AA5" s="547"/>
      <c r="AB5" s="547"/>
      <c r="AC5" s="547"/>
      <c r="AD5" s="547"/>
      <c r="AE5" s="547"/>
      <c r="AF5" s="547"/>
      <c r="AG5" s="547"/>
      <c r="AH5" s="547"/>
      <c r="AI5" s="547"/>
      <c r="AJ5" s="547"/>
      <c r="AK5" s="547"/>
      <c r="AL5" s="547"/>
      <c r="AM5" s="176"/>
      <c r="AN5" s="176"/>
      <c r="AO5" s="176"/>
      <c r="AP5" s="176"/>
      <c r="AQ5" s="176"/>
      <c r="AR5" s="176"/>
      <c r="AS5" s="176"/>
      <c r="AT5" s="176"/>
      <c r="AU5" s="176"/>
      <c r="AV5" s="176"/>
      <c r="AW5" s="176"/>
      <c r="AX5" s="176"/>
      <c r="AY5" s="176"/>
      <c r="AZ5" s="176"/>
      <c r="BA5" s="176"/>
      <c r="BB5" s="176"/>
      <c r="BC5" s="176"/>
      <c r="BD5" s="176"/>
      <c r="BE5" s="176"/>
      <c r="BF5" s="176"/>
    </row>
    <row r="6" spans="1:58" ht="20.100000000000001" customHeight="1" thickBot="1" x14ac:dyDescent="0.3">
      <c r="A6" s="553" t="s">
        <v>4</v>
      </c>
      <c r="B6" s="553"/>
      <c r="C6" s="553"/>
      <c r="D6" s="553"/>
      <c r="E6" s="176"/>
      <c r="F6" s="181" t="s">
        <v>5</v>
      </c>
      <c r="G6" s="182"/>
      <c r="H6" s="182"/>
      <c r="I6" s="182"/>
      <c r="J6" s="182"/>
      <c r="K6" s="183"/>
      <c r="L6" s="183"/>
      <c r="M6" s="183"/>
      <c r="N6" s="176"/>
      <c r="O6" s="176"/>
      <c r="P6" s="176"/>
      <c r="Q6" s="176"/>
      <c r="R6" s="176"/>
      <c r="S6" s="176"/>
      <c r="T6" s="176"/>
      <c r="U6" s="547"/>
      <c r="V6" s="547"/>
      <c r="W6" s="547"/>
      <c r="X6" s="547"/>
      <c r="Y6" s="547"/>
      <c r="Z6" s="547"/>
      <c r="AA6" s="547"/>
      <c r="AB6" s="547"/>
      <c r="AC6" s="547"/>
      <c r="AD6" s="547"/>
      <c r="AE6" s="547"/>
      <c r="AF6" s="547"/>
      <c r="AG6" s="547"/>
      <c r="AH6" s="547"/>
      <c r="AI6" s="547"/>
      <c r="AJ6" s="547"/>
      <c r="AK6" s="547"/>
      <c r="AL6" s="547"/>
      <c r="AM6" s="176"/>
      <c r="AN6" s="176"/>
      <c r="AO6" s="176"/>
      <c r="AP6" s="176"/>
      <c r="AQ6" s="176"/>
      <c r="AR6" s="176"/>
      <c r="AS6" s="176"/>
      <c r="AT6" s="176"/>
      <c r="AU6" s="176"/>
      <c r="AV6" s="176"/>
      <c r="AW6" s="176"/>
      <c r="AX6" s="176"/>
      <c r="AY6" s="176"/>
      <c r="AZ6" s="176"/>
      <c r="BA6" s="176"/>
      <c r="BB6" s="176"/>
      <c r="BC6" s="176"/>
      <c r="BD6" s="176"/>
      <c r="BE6" s="176"/>
      <c r="BF6" s="176"/>
    </row>
    <row r="7" spans="1:58" ht="20.100000000000001" customHeight="1" thickBot="1" x14ac:dyDescent="0.3">
      <c r="A7" s="184" t="s">
        <v>151</v>
      </c>
      <c r="B7" s="185">
        <v>0.41666666666666669</v>
      </c>
      <c r="C7" s="186"/>
      <c r="D7" s="187"/>
      <c r="E7" s="176"/>
      <c r="F7" s="188"/>
      <c r="G7" s="189"/>
      <c r="H7" s="189"/>
      <c r="I7" s="190"/>
      <c r="J7" s="191"/>
      <c r="K7" s="192" t="s">
        <v>152</v>
      </c>
      <c r="L7" s="192" t="s">
        <v>153</v>
      </c>
      <c r="M7" s="192" t="s">
        <v>154</v>
      </c>
      <c r="N7" s="176" t="s">
        <v>155</v>
      </c>
      <c r="O7" s="176"/>
      <c r="P7" s="176"/>
      <c r="Q7" s="176"/>
      <c r="R7" s="176"/>
      <c r="S7" s="176"/>
      <c r="T7" s="176"/>
      <c r="U7" s="547"/>
      <c r="V7" s="547"/>
      <c r="W7" s="547"/>
      <c r="X7" s="547"/>
      <c r="Y7" s="547"/>
      <c r="Z7" s="547"/>
      <c r="AA7" s="547"/>
      <c r="AB7" s="547"/>
      <c r="AC7" s="547"/>
      <c r="AD7" s="547"/>
      <c r="AE7" s="547"/>
      <c r="AF7" s="547"/>
      <c r="AG7" s="547"/>
      <c r="AH7" s="547"/>
      <c r="AI7" s="547"/>
      <c r="AJ7" s="547"/>
      <c r="AK7" s="547"/>
      <c r="AL7" s="547"/>
      <c r="AM7" s="176"/>
      <c r="AN7" s="176"/>
      <c r="AO7" s="176"/>
      <c r="AP7" s="176"/>
      <c r="AQ7" s="176"/>
      <c r="AR7" s="176"/>
      <c r="AS7" s="176"/>
      <c r="AT7" s="176"/>
      <c r="AU7" s="176"/>
      <c r="AV7" s="176"/>
      <c r="AW7" s="176"/>
      <c r="AX7" s="176"/>
      <c r="AY7" s="176"/>
      <c r="AZ7" s="176"/>
      <c r="BA7" s="176"/>
      <c r="BB7" s="176"/>
      <c r="BC7" s="176"/>
      <c r="BD7" s="176"/>
      <c r="BE7" s="176"/>
      <c r="BF7" s="176"/>
    </row>
    <row r="8" spans="1:58" ht="20.100000000000001" customHeight="1" thickBot="1" x14ac:dyDescent="0.3">
      <c r="A8" s="193" t="s">
        <v>6</v>
      </c>
      <c r="B8" s="194" t="s">
        <v>187</v>
      </c>
      <c r="C8" s="186" t="s">
        <v>8</v>
      </c>
      <c r="D8" s="187">
        <f>D10*B11*8.34*10000</f>
        <v>392.09542560000011</v>
      </c>
      <c r="E8" s="176"/>
      <c r="F8" s="195" t="s">
        <v>151</v>
      </c>
      <c r="G8" s="196">
        <f>B7</f>
        <v>0.41666666666666669</v>
      </c>
      <c r="H8" s="195"/>
      <c r="I8" s="195"/>
      <c r="J8" s="197"/>
      <c r="K8" s="198" t="s">
        <v>157</v>
      </c>
      <c r="L8" s="198"/>
      <c r="M8" s="198"/>
      <c r="N8" s="176" t="s">
        <v>158</v>
      </c>
      <c r="O8" s="176"/>
      <c r="P8" s="176"/>
      <c r="Q8" s="176"/>
      <c r="R8" s="176"/>
      <c r="S8" s="176"/>
      <c r="T8" s="176"/>
      <c r="U8" s="199"/>
      <c r="V8" s="199"/>
      <c r="W8" s="199"/>
      <c r="X8" s="199"/>
      <c r="Y8" s="199"/>
      <c r="Z8" s="199"/>
      <c r="AA8" s="199"/>
      <c r="AB8" s="199"/>
      <c r="AC8" s="199"/>
      <c r="AD8" s="199"/>
      <c r="AE8" s="199"/>
      <c r="AF8" s="199"/>
      <c r="AG8" s="199"/>
      <c r="AH8" s="199"/>
      <c r="AI8" s="199"/>
      <c r="AJ8" s="199"/>
      <c r="AK8" s="199"/>
      <c r="AL8" s="199"/>
      <c r="AM8" s="176"/>
      <c r="AN8" s="176"/>
      <c r="AO8" s="176"/>
      <c r="AP8" s="176"/>
      <c r="AQ8" s="176"/>
      <c r="AR8" s="176"/>
      <c r="AS8" s="176"/>
      <c r="AT8" s="176"/>
      <c r="AU8" s="176"/>
      <c r="AV8" s="176"/>
      <c r="AW8" s="176"/>
      <c r="AX8" s="176"/>
      <c r="AY8" s="176"/>
      <c r="AZ8" s="176"/>
      <c r="BA8" s="176"/>
      <c r="BB8" s="176"/>
      <c r="BC8" s="176"/>
      <c r="BD8" s="176"/>
      <c r="BE8" s="176"/>
      <c r="BF8" s="176"/>
    </row>
    <row r="9" spans="1:58" ht="20.100000000000001" customHeight="1" thickBot="1" x14ac:dyDescent="0.3">
      <c r="A9" s="184" t="s">
        <v>10</v>
      </c>
      <c r="B9" s="194">
        <v>0.16700000000000001</v>
      </c>
      <c r="C9" s="200" t="s">
        <v>11</v>
      </c>
      <c r="D9" s="201">
        <f>B9*B10</f>
        <v>13.059400000000002</v>
      </c>
      <c r="E9" s="176"/>
      <c r="F9" s="195"/>
      <c r="G9" s="202" t="s">
        <v>12</v>
      </c>
      <c r="H9" s="202" t="s">
        <v>13</v>
      </c>
      <c r="I9" s="202" t="s">
        <v>14</v>
      </c>
      <c r="J9" s="203" t="s">
        <v>15</v>
      </c>
      <c r="K9" s="198" t="s">
        <v>159</v>
      </c>
      <c r="L9" s="198">
        <v>1</v>
      </c>
      <c r="M9" s="198"/>
      <c r="N9" s="176"/>
      <c r="O9" s="176"/>
      <c r="P9" s="176"/>
      <c r="Q9" s="176"/>
      <c r="R9" s="176"/>
      <c r="S9" s="176"/>
      <c r="T9" s="176"/>
      <c r="U9" s="199"/>
      <c r="V9" s="199"/>
      <c r="W9" s="199"/>
      <c r="X9" s="199"/>
      <c r="Y9" s="199"/>
      <c r="Z9" s="199"/>
      <c r="AA9" s="199"/>
      <c r="AB9" s="199"/>
      <c r="AC9" s="199"/>
      <c r="AD9" s="199"/>
      <c r="AE9" s="199"/>
      <c r="AF9" s="199"/>
      <c r="AG9" s="199"/>
      <c r="AH9" s="199"/>
      <c r="AI9" s="199"/>
      <c r="AJ9" s="199"/>
      <c r="AK9" s="199"/>
      <c r="AL9" s="199"/>
      <c r="AM9" s="176"/>
      <c r="AN9" s="176"/>
      <c r="AO9" s="176"/>
      <c r="AP9" s="176"/>
      <c r="AQ9" s="176"/>
      <c r="AR9" s="176"/>
      <c r="AS9" s="176"/>
      <c r="AT9" s="176"/>
      <c r="AU9" s="176"/>
      <c r="AV9" s="176"/>
      <c r="AW9" s="176"/>
      <c r="AX9" s="176"/>
      <c r="AY9" s="176"/>
      <c r="AZ9" s="176"/>
      <c r="BA9" s="176"/>
      <c r="BB9" s="176"/>
      <c r="BC9" s="176"/>
      <c r="BD9" s="176"/>
      <c r="BE9" s="176"/>
      <c r="BF9" s="176"/>
    </row>
    <row r="10" spans="1:58" ht="20.100000000000001" customHeight="1" thickBot="1" x14ac:dyDescent="0.3">
      <c r="A10" s="184" t="s">
        <v>16</v>
      </c>
      <c r="B10" s="204">
        <v>78.2</v>
      </c>
      <c r="C10" s="200" t="s">
        <v>17</v>
      </c>
      <c r="D10" s="201">
        <f>D9*1440/1000000</f>
        <v>1.8805536000000005E-2</v>
      </c>
      <c r="E10" s="176"/>
      <c r="F10" s="195" t="s">
        <v>18</v>
      </c>
      <c r="G10" s="205" t="s">
        <v>19</v>
      </c>
      <c r="H10" s="206">
        <f>B13</f>
        <v>3.5</v>
      </c>
      <c r="I10" s="206"/>
      <c r="J10" s="207"/>
      <c r="K10" s="198" t="s">
        <v>160</v>
      </c>
      <c r="L10" s="198">
        <v>1</v>
      </c>
      <c r="M10" s="198"/>
      <c r="N10" s="176"/>
      <c r="O10" s="176"/>
      <c r="P10" s="176"/>
      <c r="Q10" s="176"/>
      <c r="R10" s="176"/>
      <c r="S10" s="176"/>
      <c r="T10" s="176"/>
      <c r="U10" s="199"/>
      <c r="V10" s="556" t="s">
        <v>161</v>
      </c>
      <c r="W10" s="556"/>
      <c r="X10" s="556"/>
      <c r="Y10" s="199"/>
      <c r="Z10" s="199"/>
      <c r="AA10" s="199"/>
      <c r="AB10" s="199"/>
      <c r="AC10" s="199"/>
      <c r="AD10" s="199"/>
      <c r="AE10" s="199"/>
      <c r="AF10" s="199"/>
      <c r="AG10" s="199"/>
      <c r="AH10" s="199"/>
      <c r="AI10" s="556" t="s">
        <v>81</v>
      </c>
      <c r="AJ10" s="556"/>
      <c r="AK10" s="556"/>
      <c r="AL10" s="199"/>
      <c r="AM10" s="176"/>
      <c r="AN10" s="176"/>
      <c r="AO10" s="176"/>
      <c r="AP10" s="176"/>
      <c r="AQ10" s="176"/>
      <c r="AR10" s="176"/>
      <c r="AS10" s="176"/>
      <c r="AT10" s="176"/>
      <c r="AU10" s="176"/>
      <c r="AV10" s="176"/>
      <c r="AW10" s="176"/>
      <c r="AX10" s="176"/>
      <c r="AY10" s="176"/>
      <c r="AZ10" s="176"/>
      <c r="BA10" s="176"/>
      <c r="BB10" s="176"/>
      <c r="BC10" s="176"/>
      <c r="BD10" s="176"/>
      <c r="BE10" s="176"/>
      <c r="BF10" s="176"/>
    </row>
    <row r="11" spans="1:58" ht="20.100000000000001" customHeight="1" thickBot="1" x14ac:dyDescent="0.3">
      <c r="A11" s="184" t="s">
        <v>20</v>
      </c>
      <c r="B11" s="208">
        <v>0.25</v>
      </c>
      <c r="C11" s="200" t="s">
        <v>21</v>
      </c>
      <c r="D11" s="201">
        <f>B10*1440/1000000</f>
        <v>0.112608</v>
      </c>
      <c r="E11" s="176"/>
      <c r="F11" s="195" t="s">
        <v>22</v>
      </c>
      <c r="G11" s="205" t="s">
        <v>23</v>
      </c>
      <c r="H11" s="209">
        <f>B9</f>
        <v>0.16700000000000001</v>
      </c>
      <c r="I11" s="209">
        <f>B9</f>
        <v>0.16700000000000001</v>
      </c>
      <c r="J11" s="210">
        <f>B9</f>
        <v>0.16700000000000001</v>
      </c>
      <c r="K11" s="198" t="s">
        <v>162</v>
      </c>
      <c r="L11" s="198">
        <v>0</v>
      </c>
      <c r="M11" s="198"/>
      <c r="N11" s="176"/>
      <c r="O11" s="176"/>
      <c r="P11" s="176"/>
      <c r="Q11" s="176"/>
      <c r="R11" s="176"/>
      <c r="S11" s="176"/>
      <c r="T11" s="176"/>
      <c r="U11" s="199"/>
      <c r="V11" s="556"/>
      <c r="W11" s="556"/>
      <c r="X11" s="556"/>
      <c r="Y11" s="199"/>
      <c r="Z11" s="199"/>
      <c r="AA11" s="199"/>
      <c r="AB11" s="199"/>
      <c r="AC11" s="199"/>
      <c r="AD11" s="199"/>
      <c r="AE11" s="199"/>
      <c r="AF11" s="199"/>
      <c r="AG11" s="199"/>
      <c r="AH11" s="199"/>
      <c r="AI11" s="556"/>
      <c r="AJ11" s="556"/>
      <c r="AK11" s="556"/>
      <c r="AL11" s="199"/>
      <c r="AM11" s="176"/>
      <c r="AN11" s="176"/>
      <c r="AO11" s="176"/>
      <c r="AP11" s="176"/>
      <c r="AQ11" s="176"/>
      <c r="AR11" s="176"/>
      <c r="AS11" s="176"/>
      <c r="AT11" s="176"/>
      <c r="AU11" s="176"/>
      <c r="AV11" s="176"/>
      <c r="AW11" s="176"/>
      <c r="AX11" s="176"/>
      <c r="AY11" s="176"/>
      <c r="AZ11" s="176"/>
      <c r="BA11" s="176"/>
      <c r="BB11" s="176"/>
      <c r="BC11" s="176"/>
      <c r="BD11" s="176"/>
      <c r="BE11" s="176"/>
      <c r="BF11" s="176"/>
    </row>
    <row r="12" spans="1:58" ht="20.100000000000001" customHeight="1" thickBot="1" x14ac:dyDescent="0.35">
      <c r="A12" s="184" t="s">
        <v>24</v>
      </c>
      <c r="B12" s="211">
        <v>5.5</v>
      </c>
      <c r="C12" s="200" t="s">
        <v>25</v>
      </c>
      <c r="D12" s="201">
        <f>(B12/(1+(B15/B14)))</f>
        <v>3.5869565217391308</v>
      </c>
      <c r="E12" s="176"/>
      <c r="F12" s="195" t="s">
        <v>26</v>
      </c>
      <c r="G12" s="205" t="s">
        <v>27</v>
      </c>
      <c r="H12" s="212">
        <f>D15</f>
        <v>23.857142857142858</v>
      </c>
      <c r="I12" s="213">
        <f>Y97</f>
        <v>19.316061793585558</v>
      </c>
      <c r="J12" s="214">
        <f>AN97</f>
        <v>15.222486798375112</v>
      </c>
      <c r="K12" s="198" t="s">
        <v>163</v>
      </c>
      <c r="L12" s="198">
        <v>0</v>
      </c>
      <c r="M12" s="198"/>
      <c r="N12" s="176"/>
      <c r="O12" s="176"/>
      <c r="P12" s="176"/>
      <c r="Q12" s="176"/>
      <c r="R12" s="176"/>
      <c r="S12" s="176"/>
      <c r="T12" s="176"/>
      <c r="U12" s="199"/>
      <c r="V12" s="215"/>
      <c r="W12" s="216"/>
      <c r="X12" s="217"/>
      <c r="Y12" s="199"/>
      <c r="Z12" s="199"/>
      <c r="AA12" s="199"/>
      <c r="AB12" s="199"/>
      <c r="AC12" s="199"/>
      <c r="AD12" s="199"/>
      <c r="AE12" s="199"/>
      <c r="AF12" s="199"/>
      <c r="AG12" s="199"/>
      <c r="AH12" s="199"/>
      <c r="AI12" s="218"/>
      <c r="AJ12" s="219" t="s">
        <v>18</v>
      </c>
      <c r="AK12" s="220" t="s">
        <v>83</v>
      </c>
      <c r="AL12" s="199"/>
      <c r="AM12" s="176"/>
      <c r="AN12" s="176"/>
      <c r="AO12" s="176"/>
      <c r="AP12" s="176"/>
      <c r="AQ12" s="176"/>
      <c r="AR12" s="176"/>
      <c r="AS12" s="176"/>
      <c r="AT12" s="176"/>
      <c r="AU12" s="176"/>
      <c r="AV12" s="176"/>
      <c r="AW12" s="176"/>
      <c r="AX12" s="176"/>
      <c r="AY12" s="176"/>
      <c r="AZ12" s="176"/>
      <c r="BA12" s="176"/>
      <c r="BB12" s="176"/>
      <c r="BC12" s="176"/>
      <c r="BD12" s="176"/>
      <c r="BE12" s="176"/>
      <c r="BF12" s="176"/>
    </row>
    <row r="13" spans="1:58" ht="20.100000000000001" customHeight="1" thickBot="1" x14ac:dyDescent="0.35">
      <c r="A13" s="184" t="s">
        <v>28</v>
      </c>
      <c r="B13" s="221">
        <v>3.5</v>
      </c>
      <c r="C13" s="200" t="s">
        <v>29</v>
      </c>
      <c r="D13" s="201">
        <f>D11*D12*8.34*(10000/2000)</f>
        <v>16.843464000000001</v>
      </c>
      <c r="E13" s="176"/>
      <c r="F13" s="195" t="s">
        <v>30</v>
      </c>
      <c r="G13" s="205" t="s">
        <v>19</v>
      </c>
      <c r="H13" s="206">
        <f>AT97</f>
        <v>30.479344316278553</v>
      </c>
      <c r="I13" s="213">
        <f>Z97</f>
        <v>31.838845636604873</v>
      </c>
      <c r="J13" s="214">
        <f>AO97</f>
        <v>32.082799086115394</v>
      </c>
      <c r="K13" s="198"/>
      <c r="L13" s="198"/>
      <c r="M13" s="198"/>
      <c r="N13" s="176"/>
      <c r="O13" s="176"/>
      <c r="P13" s="176"/>
      <c r="Q13" s="176"/>
      <c r="R13" s="176"/>
      <c r="S13" s="176"/>
      <c r="T13" s="176"/>
      <c r="U13" s="199"/>
      <c r="V13" s="573" t="s">
        <v>164</v>
      </c>
      <c r="W13" s="573"/>
      <c r="X13" s="222">
        <f>B7</f>
        <v>0.41666666666666669</v>
      </c>
      <c r="Y13" s="199"/>
      <c r="Z13" s="199"/>
      <c r="AA13" s="199"/>
      <c r="AB13" s="199"/>
      <c r="AC13" s="199"/>
      <c r="AD13" s="199"/>
      <c r="AE13" s="199"/>
      <c r="AF13" s="199"/>
      <c r="AG13" s="199"/>
      <c r="AH13" s="199"/>
      <c r="AI13" s="223" t="s">
        <v>100</v>
      </c>
      <c r="AJ13" s="224" t="s">
        <v>101</v>
      </c>
      <c r="AK13" s="225" t="s">
        <v>34</v>
      </c>
      <c r="AL13" s="199"/>
      <c r="AM13" s="176"/>
      <c r="AN13" s="176"/>
      <c r="AO13" s="176"/>
      <c r="AP13" s="176"/>
      <c r="AQ13" s="176"/>
      <c r="AR13" s="176"/>
      <c r="AS13" s="176"/>
      <c r="AT13" s="176"/>
      <c r="AU13" s="176"/>
      <c r="AV13" s="176"/>
      <c r="AW13" s="176"/>
      <c r="AX13" s="176"/>
      <c r="AY13" s="176"/>
      <c r="AZ13" s="176"/>
      <c r="BA13" s="176"/>
      <c r="BB13" s="176"/>
      <c r="BC13" s="176"/>
      <c r="BD13" s="176"/>
      <c r="BE13" s="176"/>
      <c r="BF13" s="176"/>
    </row>
    <row r="14" spans="1:58" ht="20.100000000000001" customHeight="1" thickBot="1" x14ac:dyDescent="0.35">
      <c r="A14" s="184" t="s">
        <v>31</v>
      </c>
      <c r="B14" s="226">
        <v>270</v>
      </c>
      <c r="C14" s="200" t="s">
        <v>32</v>
      </c>
      <c r="D14" s="201">
        <f>D8/D13</f>
        <v>23.278787878787885</v>
      </c>
      <c r="E14" s="176"/>
      <c r="F14" s="195" t="s">
        <v>33</v>
      </c>
      <c r="G14" s="205" t="s">
        <v>34</v>
      </c>
      <c r="H14" s="206">
        <f>AU97</f>
        <v>375.00000000000313</v>
      </c>
      <c r="I14" s="213">
        <f>AA97</f>
        <v>640.00000000000728</v>
      </c>
      <c r="J14" s="214">
        <f>AP97</f>
        <v>795.00000000000125</v>
      </c>
      <c r="K14" s="198"/>
      <c r="L14" s="198"/>
      <c r="M14" s="198"/>
      <c r="N14" s="176"/>
      <c r="O14" s="176"/>
      <c r="P14" s="176"/>
      <c r="Q14" s="176"/>
      <c r="R14" s="176"/>
      <c r="S14" s="176"/>
      <c r="T14" s="176"/>
      <c r="U14" s="227"/>
      <c r="V14" s="574" t="s">
        <v>165</v>
      </c>
      <c r="W14" s="574"/>
      <c r="X14" s="228" t="s">
        <v>157</v>
      </c>
      <c r="Y14" s="199"/>
      <c r="Z14" s="199"/>
      <c r="AA14" s="199"/>
      <c r="AB14" s="199"/>
      <c r="AC14" s="199"/>
      <c r="AD14" s="199"/>
      <c r="AE14" s="199"/>
      <c r="AF14" s="199"/>
      <c r="AG14" s="199"/>
      <c r="AH14" s="199"/>
      <c r="AI14" s="229"/>
      <c r="AJ14" s="230" t="s">
        <v>102</v>
      </c>
      <c r="AK14" s="231" t="s">
        <v>167</v>
      </c>
      <c r="AL14" s="199"/>
      <c r="AM14" s="176"/>
      <c r="AN14" s="176"/>
      <c r="AO14" s="176"/>
      <c r="AP14" s="176"/>
      <c r="AQ14" s="176"/>
      <c r="AR14" s="176"/>
      <c r="AS14" s="176"/>
      <c r="AT14" s="176"/>
      <c r="AU14" s="176"/>
      <c r="AV14" s="176"/>
      <c r="AW14" s="176"/>
      <c r="AX14" s="176"/>
      <c r="AY14" s="176"/>
      <c r="AZ14" s="176"/>
      <c r="BA14" s="176"/>
      <c r="BB14" s="176"/>
      <c r="BC14" s="176"/>
      <c r="BD14" s="176"/>
      <c r="BE14" s="176"/>
      <c r="BF14" s="176"/>
    </row>
    <row r="15" spans="1:58" ht="20.100000000000001" customHeight="1" thickBot="1" x14ac:dyDescent="0.45">
      <c r="A15" s="232" t="s">
        <v>35</v>
      </c>
      <c r="B15" s="233">
        <v>144</v>
      </c>
      <c r="C15" s="234" t="s">
        <v>36</v>
      </c>
      <c r="D15" s="235">
        <f>((B9*B11)/B13)*2000</f>
        <v>23.857142857142858</v>
      </c>
      <c r="E15" s="176"/>
      <c r="F15" s="176"/>
      <c r="G15" s="176"/>
      <c r="H15" s="176"/>
      <c r="I15" s="176"/>
      <c r="J15" s="176"/>
      <c r="K15" s="176"/>
      <c r="L15" s="176"/>
      <c r="M15" s="176"/>
      <c r="N15" s="176"/>
      <c r="O15" s="176"/>
      <c r="P15" s="176"/>
      <c r="Q15" s="176"/>
      <c r="R15" s="176"/>
      <c r="S15" s="176"/>
      <c r="T15" s="176"/>
      <c r="U15" s="199"/>
      <c r="V15" s="199"/>
      <c r="W15" s="199"/>
      <c r="X15" s="227"/>
      <c r="Y15" s="227"/>
      <c r="Z15" s="227"/>
      <c r="AA15" s="199"/>
      <c r="AB15" s="199"/>
      <c r="AC15" s="199"/>
      <c r="AD15" s="199"/>
      <c r="AE15" s="199"/>
      <c r="AF15" s="199"/>
      <c r="AG15" s="199"/>
      <c r="AH15" s="199"/>
      <c r="AI15" s="199"/>
      <c r="AJ15" s="199"/>
      <c r="AK15" s="199"/>
      <c r="AL15" s="199"/>
      <c r="AM15" s="176"/>
      <c r="AN15" s="176"/>
      <c r="AO15" s="176"/>
      <c r="AP15" s="176"/>
      <c r="AQ15" s="176"/>
      <c r="AR15" s="176"/>
      <c r="AS15" s="176"/>
      <c r="AT15" s="176"/>
      <c r="AU15" s="176"/>
      <c r="AV15" s="176"/>
      <c r="AW15" s="176"/>
      <c r="AX15" s="176"/>
      <c r="AY15" s="176"/>
      <c r="AZ15" s="176"/>
      <c r="BA15" s="176"/>
      <c r="BB15" s="176"/>
      <c r="BC15" s="176"/>
      <c r="BD15" s="176"/>
      <c r="BE15" s="176"/>
      <c r="BF15" s="176"/>
    </row>
    <row r="16" spans="1:58" ht="18" customHeight="1" thickBot="1" x14ac:dyDescent="0.35">
      <c r="A16" s="236"/>
      <c r="B16" s="236"/>
      <c r="C16" s="176"/>
      <c r="D16" s="176"/>
      <c r="E16" s="176"/>
      <c r="F16" s="176"/>
      <c r="G16" s="176"/>
      <c r="H16" s="176"/>
      <c r="I16" s="176"/>
      <c r="J16" s="176"/>
      <c r="K16" s="176"/>
      <c r="L16" s="176"/>
      <c r="M16" s="176"/>
      <c r="N16" s="176"/>
      <c r="O16" s="176"/>
      <c r="P16" s="176"/>
      <c r="Q16" s="176"/>
      <c r="R16" s="176"/>
      <c r="S16" s="176"/>
      <c r="T16" s="176"/>
      <c r="U16" s="199"/>
      <c r="V16" s="199"/>
      <c r="W16" s="199"/>
      <c r="X16" s="227"/>
      <c r="Y16" s="227"/>
      <c r="Z16" s="199"/>
      <c r="AA16" s="199"/>
      <c r="AB16" s="199"/>
      <c r="AC16" s="199"/>
      <c r="AD16" s="199"/>
      <c r="AE16" s="199"/>
      <c r="AF16" s="534" t="s">
        <v>5</v>
      </c>
      <c r="AG16" s="534"/>
      <c r="AH16" s="534"/>
      <c r="AI16" s="534"/>
      <c r="AJ16" s="534"/>
      <c r="AK16" s="534"/>
      <c r="AL16" s="199"/>
      <c r="AM16" s="176"/>
      <c r="AN16" s="176"/>
      <c r="AO16" s="176"/>
      <c r="AP16" s="176"/>
      <c r="AQ16" s="176"/>
      <c r="AR16" s="176"/>
      <c r="AS16" s="176"/>
      <c r="AT16" s="176"/>
      <c r="AU16" s="176"/>
      <c r="AV16" s="176"/>
      <c r="AW16" s="176"/>
      <c r="AX16" s="176"/>
      <c r="AY16" s="176"/>
      <c r="AZ16" s="176"/>
      <c r="BA16" s="176"/>
      <c r="BB16" s="176"/>
      <c r="BC16" s="176"/>
      <c r="BD16" s="176"/>
      <c r="BE16" s="176"/>
      <c r="BF16" s="176"/>
    </row>
    <row r="17" spans="1:58" ht="16.350000000000001" customHeight="1" outlineLevel="2" thickBot="1" x14ac:dyDescent="0.35">
      <c r="A17" s="536" t="s">
        <v>37</v>
      </c>
      <c r="B17" s="536"/>
      <c r="C17" s="536"/>
      <c r="D17" s="176"/>
      <c r="E17" s="176"/>
      <c r="F17" s="176"/>
      <c r="G17" s="176"/>
      <c r="H17" s="176"/>
      <c r="I17" s="176"/>
      <c r="J17" s="176"/>
      <c r="K17" s="176"/>
      <c r="L17" s="176"/>
      <c r="M17" s="176"/>
      <c r="N17" s="176"/>
      <c r="O17" s="176"/>
      <c r="P17" s="176"/>
      <c r="Q17" s="176"/>
      <c r="R17" s="176"/>
      <c r="S17" s="176"/>
      <c r="T17" s="176"/>
      <c r="U17" s="199"/>
      <c r="V17" s="199"/>
      <c r="W17" s="199"/>
      <c r="X17" s="227"/>
      <c r="Y17" s="227"/>
      <c r="Z17" s="199"/>
      <c r="AA17" s="199"/>
      <c r="AB17" s="199"/>
      <c r="AC17" s="199"/>
      <c r="AD17" s="199"/>
      <c r="AE17" s="199"/>
      <c r="AF17" s="534"/>
      <c r="AG17" s="534"/>
      <c r="AH17" s="534"/>
      <c r="AI17" s="534"/>
      <c r="AJ17" s="534"/>
      <c r="AK17" s="534"/>
      <c r="AL17" s="199"/>
      <c r="AM17" s="176"/>
      <c r="AN17" s="176"/>
      <c r="AO17" s="176"/>
      <c r="AP17" s="176"/>
      <c r="AQ17" s="176"/>
      <c r="AR17" s="176"/>
      <c r="AS17" s="176"/>
      <c r="AT17" s="176"/>
      <c r="AU17" s="176"/>
      <c r="AV17" s="176"/>
      <c r="AW17" s="176"/>
      <c r="AX17" s="176"/>
      <c r="AY17" s="176"/>
      <c r="AZ17" s="176"/>
      <c r="BA17" s="176"/>
      <c r="BB17" s="176"/>
      <c r="BC17" s="176"/>
      <c r="BD17" s="176"/>
      <c r="BE17" s="176"/>
      <c r="BF17" s="176"/>
    </row>
    <row r="18" spans="1:58" ht="19.5" outlineLevel="2" thickBot="1" x14ac:dyDescent="0.35">
      <c r="A18" s="237"/>
      <c r="B18" s="186"/>
      <c r="C18" s="238"/>
      <c r="D18" s="176"/>
      <c r="E18" s="176"/>
      <c r="F18" s="176"/>
      <c r="G18" s="176"/>
      <c r="H18" s="176"/>
      <c r="I18" s="176"/>
      <c r="J18" s="176"/>
      <c r="K18" s="176"/>
      <c r="L18" s="176"/>
      <c r="M18" s="176"/>
      <c r="N18" s="176"/>
      <c r="O18" s="176"/>
      <c r="P18" s="176"/>
      <c r="Q18" s="176"/>
      <c r="R18" s="176"/>
      <c r="S18" s="176"/>
      <c r="T18" s="176"/>
      <c r="U18" s="199"/>
      <c r="V18" s="199"/>
      <c r="W18" s="199"/>
      <c r="X18" s="227"/>
      <c r="Y18" s="227"/>
      <c r="Z18" s="199"/>
      <c r="AA18" s="199"/>
      <c r="AB18" s="199"/>
      <c r="AC18" s="199"/>
      <c r="AD18" s="199"/>
      <c r="AE18" s="199"/>
      <c r="AF18" s="539" t="s">
        <v>168</v>
      </c>
      <c r="AG18" s="539"/>
      <c r="AH18" s="239"/>
      <c r="AI18" s="240"/>
      <c r="AJ18" s="241" t="s">
        <v>9</v>
      </c>
      <c r="AK18" s="242"/>
      <c r="AL18" s="199"/>
      <c r="AM18" s="176"/>
      <c r="AN18" s="176"/>
      <c r="AO18" s="176"/>
      <c r="AP18" s="176"/>
      <c r="AQ18" s="176"/>
      <c r="AR18" s="176"/>
      <c r="AS18" s="176"/>
      <c r="AT18" s="176"/>
      <c r="AU18" s="176"/>
      <c r="AV18" s="176"/>
      <c r="AW18" s="176"/>
      <c r="AX18" s="176"/>
      <c r="AY18" s="176"/>
      <c r="AZ18" s="176"/>
      <c r="BA18" s="176"/>
      <c r="BB18" s="176"/>
      <c r="BC18" s="176"/>
      <c r="BD18" s="176"/>
      <c r="BE18" s="176"/>
      <c r="BF18" s="176"/>
    </row>
    <row r="19" spans="1:58" ht="19.5" outlineLevel="2" thickBot="1" x14ac:dyDescent="0.35">
      <c r="A19" s="243" t="s">
        <v>38</v>
      </c>
      <c r="B19" s="244">
        <f>1/453.59237</f>
        <v>2.2046226218487759E-3</v>
      </c>
      <c r="C19" s="245" t="s">
        <v>39</v>
      </c>
      <c r="D19" s="176"/>
      <c r="E19" s="176"/>
      <c r="F19" s="176"/>
      <c r="G19" s="176"/>
      <c r="H19" s="176"/>
      <c r="I19" s="176"/>
      <c r="J19" s="176"/>
      <c r="K19" s="176"/>
      <c r="L19" s="176"/>
      <c r="M19" s="176"/>
      <c r="N19" s="176"/>
      <c r="O19" s="176"/>
      <c r="P19" s="176"/>
      <c r="Q19" s="176"/>
      <c r="R19" s="176"/>
      <c r="S19" s="176"/>
      <c r="T19" s="176"/>
      <c r="U19" s="227"/>
      <c r="V19" s="227"/>
      <c r="W19" s="227"/>
      <c r="X19" s="227"/>
      <c r="Y19" s="227"/>
      <c r="Z19" s="199"/>
      <c r="AA19" s="199"/>
      <c r="AB19" s="199"/>
      <c r="AC19" s="199"/>
      <c r="AD19" s="199"/>
      <c r="AE19" s="199"/>
      <c r="AF19" s="539"/>
      <c r="AG19" s="539"/>
      <c r="AH19" s="246" t="s">
        <v>12</v>
      </c>
      <c r="AI19" s="247" t="s">
        <v>13</v>
      </c>
      <c r="AJ19" s="247" t="s">
        <v>14</v>
      </c>
      <c r="AK19" s="248" t="s">
        <v>15</v>
      </c>
      <c r="AL19" s="199"/>
      <c r="AM19" s="176"/>
      <c r="AN19" s="176"/>
      <c r="AO19" s="176"/>
      <c r="AP19" s="176"/>
      <c r="AQ19" s="176"/>
      <c r="AR19" s="176"/>
      <c r="AS19" s="176"/>
      <c r="AT19" s="176"/>
      <c r="AU19" s="176"/>
      <c r="AV19" s="176"/>
      <c r="AW19" s="176"/>
      <c r="AX19" s="176"/>
      <c r="AY19" s="176"/>
      <c r="AZ19" s="176"/>
      <c r="BA19" s="176"/>
      <c r="BB19" s="176"/>
      <c r="BC19" s="176"/>
      <c r="BD19" s="176"/>
      <c r="BE19" s="176"/>
      <c r="BF19" s="176"/>
    </row>
    <row r="20" spans="1:58" ht="18.75" outlineLevel="2" x14ac:dyDescent="0.3">
      <c r="A20" s="243" t="s">
        <v>38</v>
      </c>
      <c r="B20" s="244">
        <v>1.1023109950010101E-6</v>
      </c>
      <c r="C20" s="245" t="s">
        <v>40</v>
      </c>
      <c r="D20" s="176"/>
      <c r="E20" s="176"/>
      <c r="F20" s="176"/>
      <c r="G20" s="176"/>
      <c r="H20" s="176"/>
      <c r="I20" s="176"/>
      <c r="J20" s="176"/>
      <c r="K20" s="176"/>
      <c r="L20" s="176"/>
      <c r="M20" s="176"/>
      <c r="N20" s="176"/>
      <c r="O20" s="176"/>
      <c r="P20" s="176"/>
      <c r="Q20" s="176"/>
      <c r="R20" s="176"/>
      <c r="S20" s="176"/>
      <c r="T20" s="176"/>
      <c r="U20" s="227"/>
      <c r="V20" s="227"/>
      <c r="W20" s="227"/>
      <c r="X20" s="227"/>
      <c r="Y20" s="227"/>
      <c r="Z20" s="199"/>
      <c r="AA20" s="199"/>
      <c r="AB20" s="199"/>
      <c r="AC20" s="199"/>
      <c r="AD20" s="199"/>
      <c r="AE20" s="199"/>
      <c r="AF20" s="539"/>
      <c r="AG20" s="539"/>
      <c r="AH20" s="246"/>
      <c r="AI20" s="247"/>
      <c r="AJ20" s="247"/>
      <c r="AK20" s="248"/>
      <c r="AL20" s="199"/>
      <c r="AM20" s="176"/>
      <c r="AN20" s="176"/>
      <c r="AO20" s="176"/>
      <c r="AP20" s="176"/>
      <c r="AQ20" s="176"/>
      <c r="AR20" s="176"/>
      <c r="AS20" s="176"/>
      <c r="AT20" s="176"/>
      <c r="AU20" s="176"/>
      <c r="AV20" s="176"/>
      <c r="AW20" s="176"/>
      <c r="AX20" s="176"/>
      <c r="AY20" s="176"/>
      <c r="AZ20" s="176"/>
      <c r="BA20" s="176"/>
      <c r="BB20" s="176"/>
      <c r="BC20" s="176"/>
      <c r="BD20" s="176"/>
      <c r="BE20" s="176"/>
      <c r="BF20" s="176"/>
    </row>
    <row r="21" spans="1:58" ht="18.75" outlineLevel="2" x14ac:dyDescent="0.3">
      <c r="A21" s="243" t="s">
        <v>41</v>
      </c>
      <c r="B21" s="244">
        <v>3.95</v>
      </c>
      <c r="C21" s="245" t="s">
        <v>42</v>
      </c>
      <c r="D21" s="176"/>
      <c r="E21" s="176"/>
      <c r="F21" s="176"/>
      <c r="G21" s="176"/>
      <c r="H21" s="176"/>
      <c r="I21" s="176"/>
      <c r="J21" s="176"/>
      <c r="K21" s="176"/>
      <c r="L21" s="176"/>
      <c r="M21" s="176"/>
      <c r="N21" s="176"/>
      <c r="O21" s="176"/>
      <c r="P21" s="176"/>
      <c r="Q21" s="176"/>
      <c r="R21" s="176"/>
      <c r="S21" s="176"/>
      <c r="T21" s="176"/>
      <c r="U21" s="227"/>
      <c r="V21" s="227"/>
      <c r="W21" s="227"/>
      <c r="X21" s="227"/>
      <c r="Y21" s="227"/>
      <c r="Z21" s="199"/>
      <c r="AA21" s="199"/>
      <c r="AB21" s="199"/>
      <c r="AC21" s="199"/>
      <c r="AD21" s="199"/>
      <c r="AE21" s="199"/>
      <c r="AF21" s="571" t="s">
        <v>18</v>
      </c>
      <c r="AG21" s="571"/>
      <c r="AH21" s="249" t="s">
        <v>19</v>
      </c>
      <c r="AI21" s="250">
        <f>H10</f>
        <v>3.5</v>
      </c>
      <c r="AJ21" s="251"/>
      <c r="AK21" s="252"/>
      <c r="AL21" s="199"/>
      <c r="AM21" s="176"/>
      <c r="AN21" s="176"/>
      <c r="AO21" s="176"/>
      <c r="AP21" s="176"/>
      <c r="AQ21" s="176"/>
      <c r="AR21" s="176"/>
      <c r="AS21" s="176"/>
      <c r="AT21" s="176"/>
      <c r="AU21" s="176"/>
      <c r="AV21" s="176"/>
      <c r="AW21" s="176"/>
      <c r="AX21" s="176"/>
      <c r="AY21" s="176"/>
      <c r="AZ21" s="176"/>
      <c r="BA21" s="176"/>
      <c r="BB21" s="176"/>
      <c r="BC21" s="176"/>
      <c r="BD21" s="176"/>
      <c r="BE21" s="176"/>
      <c r="BF21" s="176"/>
    </row>
    <row r="22" spans="1:58" ht="18.75" outlineLevel="2" x14ac:dyDescent="0.3">
      <c r="A22" s="243" t="s">
        <v>43</v>
      </c>
      <c r="B22" s="253">
        <f>((3.95/2)*0.0254)^2 * PI()</f>
        <v>7.9059034426187096E-3</v>
      </c>
      <c r="C22" s="245" t="s">
        <v>169</v>
      </c>
      <c r="D22" s="176"/>
      <c r="E22" s="176"/>
      <c r="F22" s="176"/>
      <c r="G22" s="176"/>
      <c r="H22" s="176"/>
      <c r="I22" s="176"/>
      <c r="J22" s="176"/>
      <c r="K22" s="176"/>
      <c r="L22" s="176"/>
      <c r="M22" s="176"/>
      <c r="N22" s="176"/>
      <c r="O22" s="176"/>
      <c r="P22" s="176"/>
      <c r="Q22" s="176"/>
      <c r="R22" s="176"/>
      <c r="S22" s="176"/>
      <c r="T22" s="176"/>
      <c r="U22" s="227"/>
      <c r="V22" s="227"/>
      <c r="W22" s="227"/>
      <c r="X22" s="227"/>
      <c r="Y22" s="227"/>
      <c r="Z22" s="199"/>
      <c r="AA22" s="199"/>
      <c r="AB22" s="199"/>
      <c r="AC22" s="199"/>
      <c r="AD22" s="199"/>
      <c r="AE22" s="199"/>
      <c r="AF22" s="571" t="s">
        <v>22</v>
      </c>
      <c r="AG22" s="571"/>
      <c r="AH22" s="249" t="s">
        <v>106</v>
      </c>
      <c r="AI22" s="254">
        <f>H11</f>
        <v>0.16700000000000001</v>
      </c>
      <c r="AJ22" s="254"/>
      <c r="AK22" s="255"/>
      <c r="AL22" s="199"/>
      <c r="AM22" s="176"/>
      <c r="AN22" s="176"/>
      <c r="AO22" s="176"/>
      <c r="AP22" s="176"/>
      <c r="AQ22" s="176"/>
      <c r="AR22" s="176"/>
      <c r="AS22" s="176"/>
      <c r="AT22" s="176"/>
      <c r="AU22" s="176"/>
      <c r="AV22" s="176"/>
      <c r="AW22" s="176"/>
      <c r="AX22" s="176"/>
      <c r="AY22" s="176"/>
      <c r="AZ22" s="176"/>
      <c r="BA22" s="176"/>
      <c r="BB22" s="176"/>
      <c r="BC22" s="176"/>
      <c r="BD22" s="176"/>
      <c r="BE22" s="176"/>
      <c r="BF22" s="176"/>
    </row>
    <row r="23" spans="1:58" ht="18.75" outlineLevel="2" x14ac:dyDescent="0.3">
      <c r="A23" s="523" t="s">
        <v>170</v>
      </c>
      <c r="B23" s="523"/>
      <c r="C23" s="523"/>
      <c r="D23" s="176"/>
      <c r="E23" s="176"/>
      <c r="F23" s="176"/>
      <c r="G23" s="176"/>
      <c r="H23" s="176"/>
      <c r="I23" s="176"/>
      <c r="J23" s="176"/>
      <c r="K23" s="176"/>
      <c r="L23" s="176"/>
      <c r="M23" s="176"/>
      <c r="N23" s="176"/>
      <c r="O23" s="176"/>
      <c r="P23" s="176"/>
      <c r="Q23" s="176"/>
      <c r="R23" s="176"/>
      <c r="S23" s="176"/>
      <c r="T23" s="176"/>
      <c r="U23" s="227"/>
      <c r="V23" s="227"/>
      <c r="W23" s="227"/>
      <c r="X23" s="227"/>
      <c r="Y23" s="227"/>
      <c r="Z23" s="199"/>
      <c r="AA23" s="199"/>
      <c r="AB23" s="199"/>
      <c r="AC23" s="199"/>
      <c r="AD23" s="199"/>
      <c r="AE23" s="199"/>
      <c r="AF23" s="571" t="s">
        <v>26</v>
      </c>
      <c r="AG23" s="571"/>
      <c r="AH23" s="249" t="s">
        <v>27</v>
      </c>
      <c r="AI23" s="256">
        <f>H12</f>
        <v>23.857142857142858</v>
      </c>
      <c r="AJ23" s="256">
        <f>I12</f>
        <v>19.316061793585558</v>
      </c>
      <c r="AK23" s="257">
        <f>J12</f>
        <v>15.222486798375112</v>
      </c>
      <c r="AL23" s="199"/>
      <c r="AM23" s="176"/>
      <c r="AN23" s="176"/>
      <c r="AO23" s="176"/>
      <c r="AP23" s="176"/>
      <c r="AQ23" s="176"/>
      <c r="AR23" s="176"/>
      <c r="AS23" s="176"/>
      <c r="AT23" s="176"/>
      <c r="AU23" s="176"/>
      <c r="AV23" s="176"/>
      <c r="AW23" s="176"/>
      <c r="AX23" s="176"/>
      <c r="AY23" s="176"/>
      <c r="AZ23" s="176"/>
      <c r="BA23" s="176"/>
      <c r="BB23" s="176"/>
      <c r="BC23" s="176"/>
      <c r="BD23" s="176"/>
      <c r="BE23" s="176"/>
      <c r="BF23" s="176"/>
    </row>
    <row r="24" spans="1:58" ht="18.75" outlineLevel="2" x14ac:dyDescent="0.3">
      <c r="A24" s="243" t="s">
        <v>46</v>
      </c>
      <c r="B24" s="258">
        <f>B22*0.8*1000</f>
        <v>6.3247227540949682</v>
      </c>
      <c r="C24" s="245" t="s">
        <v>47</v>
      </c>
      <c r="D24" s="176"/>
      <c r="E24" s="176"/>
      <c r="F24" s="176"/>
      <c r="G24" s="176"/>
      <c r="H24" s="176"/>
      <c r="I24" s="176"/>
      <c r="J24" s="176"/>
      <c r="K24" s="176"/>
      <c r="L24" s="176"/>
      <c r="M24" s="176"/>
      <c r="N24" s="176"/>
      <c r="O24" s="176"/>
      <c r="P24" s="176"/>
      <c r="Q24" s="176"/>
      <c r="R24" s="176"/>
      <c r="S24" s="176"/>
      <c r="T24" s="176"/>
      <c r="U24" s="227"/>
      <c r="V24" s="227"/>
      <c r="W24" s="227"/>
      <c r="X24" s="227"/>
      <c r="Y24" s="227"/>
      <c r="Z24" s="199"/>
      <c r="AA24" s="199"/>
      <c r="AB24" s="199"/>
      <c r="AC24" s="199"/>
      <c r="AD24" s="199"/>
      <c r="AE24" s="199"/>
      <c r="AF24" s="571" t="s">
        <v>30</v>
      </c>
      <c r="AG24" s="571"/>
      <c r="AH24" s="249" t="s">
        <v>19</v>
      </c>
      <c r="AI24" s="251">
        <f>H13</f>
        <v>30.479344316278553</v>
      </c>
      <c r="AJ24" s="259">
        <f t="shared" ref="AJ24:AK25" si="0">I13</f>
        <v>31.838845636604873</v>
      </c>
      <c r="AK24" s="260">
        <f t="shared" si="0"/>
        <v>32.082799086115394</v>
      </c>
      <c r="AL24" s="199"/>
      <c r="AM24" s="176"/>
      <c r="AN24" s="176"/>
      <c r="AO24" s="176"/>
      <c r="AP24" s="176"/>
      <c r="AQ24" s="176"/>
      <c r="AR24" s="176"/>
      <c r="AS24" s="176"/>
      <c r="AT24" s="176"/>
      <c r="AU24" s="176"/>
      <c r="AV24" s="176"/>
      <c r="AW24" s="176"/>
      <c r="AX24" s="176"/>
      <c r="AY24" s="176"/>
      <c r="AZ24" s="176"/>
      <c r="BA24" s="176"/>
      <c r="BB24" s="176"/>
      <c r="BC24" s="176"/>
      <c r="BD24" s="176"/>
      <c r="BE24" s="176"/>
      <c r="BF24" s="176"/>
    </row>
    <row r="25" spans="1:58" ht="16.5" customHeight="1" outlineLevel="2" thickBot="1" x14ac:dyDescent="0.35">
      <c r="A25" s="243" t="s">
        <v>48</v>
      </c>
      <c r="B25" s="258">
        <v>3.5</v>
      </c>
      <c r="C25" s="245" t="s">
        <v>49</v>
      </c>
      <c r="D25" s="176"/>
      <c r="E25" s="176"/>
      <c r="F25" s="176"/>
      <c r="G25" s="176"/>
      <c r="H25" s="176"/>
      <c r="I25" s="176"/>
      <c r="J25" s="176"/>
      <c r="K25" s="176"/>
      <c r="L25" s="176"/>
      <c r="M25" s="176"/>
      <c r="N25" s="176"/>
      <c r="O25" s="176"/>
      <c r="P25" s="176"/>
      <c r="Q25" s="176"/>
      <c r="R25" s="176"/>
      <c r="S25" s="176"/>
      <c r="T25" s="176"/>
      <c r="U25" s="227"/>
      <c r="V25" s="227"/>
      <c r="W25" s="227"/>
      <c r="X25" s="227"/>
      <c r="Y25" s="227"/>
      <c r="Z25" s="199"/>
      <c r="AA25" s="199"/>
      <c r="AB25" s="199"/>
      <c r="AC25" s="199"/>
      <c r="AD25" s="199"/>
      <c r="AE25" s="199"/>
      <c r="AF25" s="572" t="s">
        <v>33</v>
      </c>
      <c r="AG25" s="572"/>
      <c r="AH25" s="261" t="s">
        <v>34</v>
      </c>
      <c r="AI25" s="262">
        <f>H14</f>
        <v>375.00000000000313</v>
      </c>
      <c r="AJ25" s="262">
        <f t="shared" si="0"/>
        <v>640.00000000000728</v>
      </c>
      <c r="AK25" s="263">
        <f t="shared" si="0"/>
        <v>795.00000000000125</v>
      </c>
      <c r="AL25" s="199"/>
      <c r="AM25" s="176"/>
      <c r="AN25" s="176"/>
      <c r="AO25" s="176"/>
      <c r="AP25" s="176"/>
      <c r="AQ25" s="176"/>
      <c r="AR25" s="176"/>
      <c r="AS25" s="176"/>
      <c r="AT25" s="176"/>
      <c r="AU25" s="176"/>
      <c r="AV25" s="176"/>
      <c r="AW25" s="176"/>
      <c r="AX25" s="176"/>
      <c r="AY25" s="176"/>
      <c r="AZ25" s="176"/>
      <c r="BA25" s="176"/>
      <c r="BB25" s="176"/>
      <c r="BC25" s="176"/>
      <c r="BD25" s="176"/>
      <c r="BE25" s="176"/>
      <c r="BF25" s="176"/>
    </row>
    <row r="26" spans="1:58" ht="16.5" customHeight="1" outlineLevel="2" x14ac:dyDescent="0.25">
      <c r="A26" s="523" t="s">
        <v>50</v>
      </c>
      <c r="B26" s="523"/>
      <c r="C26" s="523"/>
      <c r="D26" s="176"/>
      <c r="E26" s="176"/>
      <c r="F26" s="176"/>
      <c r="G26" s="176"/>
      <c r="H26" s="176"/>
      <c r="I26" s="176"/>
      <c r="J26" s="176"/>
      <c r="K26" s="176"/>
      <c r="L26" s="176"/>
      <c r="M26" s="176"/>
      <c r="N26" s="176"/>
      <c r="O26" s="176"/>
      <c r="P26" s="176"/>
      <c r="Q26" s="176"/>
      <c r="R26" s="176"/>
      <c r="S26" s="176"/>
      <c r="T26" s="176"/>
      <c r="U26" s="199"/>
      <c r="V26" s="199"/>
      <c r="W26" s="199"/>
      <c r="X26" s="199"/>
      <c r="Y26" s="199"/>
      <c r="Z26" s="199"/>
      <c r="AA26" s="199"/>
      <c r="AB26" s="199"/>
      <c r="AC26" s="199"/>
      <c r="AD26" s="199"/>
      <c r="AE26" s="199"/>
      <c r="AF26" s="199"/>
      <c r="AG26" s="199"/>
      <c r="AH26" s="199"/>
      <c r="AI26" s="199"/>
      <c r="AJ26" s="199"/>
      <c r="AK26" s="199"/>
      <c r="AL26" s="199"/>
      <c r="AM26" s="176"/>
      <c r="AN26" s="176"/>
      <c r="AO26" s="176"/>
      <c r="AP26" s="176"/>
      <c r="AQ26" s="176"/>
      <c r="AR26" s="176"/>
      <c r="AS26" s="176"/>
      <c r="AT26" s="176"/>
      <c r="AU26" s="176"/>
      <c r="AV26" s="176"/>
      <c r="AW26" s="176"/>
      <c r="AX26" s="176"/>
      <c r="AY26" s="176"/>
      <c r="AZ26" s="176"/>
      <c r="BA26" s="176"/>
      <c r="BB26" s="176"/>
      <c r="BC26" s="176"/>
      <c r="BD26" s="176"/>
      <c r="BE26" s="176"/>
      <c r="BF26" s="176"/>
    </row>
    <row r="27" spans="1:58" outlineLevel="2" x14ac:dyDescent="0.25">
      <c r="A27" s="243" t="s">
        <v>51</v>
      </c>
      <c r="B27" s="258">
        <v>0.25</v>
      </c>
      <c r="C27" s="245"/>
      <c r="D27" s="176"/>
      <c r="E27" s="176"/>
      <c r="F27" s="176"/>
      <c r="G27" s="176"/>
      <c r="H27" s="176"/>
      <c r="I27" s="176"/>
      <c r="J27" s="176"/>
      <c r="K27" s="176"/>
      <c r="L27" s="176"/>
      <c r="M27" s="176"/>
      <c r="N27" s="176"/>
      <c r="O27" s="176"/>
      <c r="P27" s="176"/>
      <c r="Q27" s="176"/>
      <c r="R27" s="176"/>
      <c r="S27" s="176"/>
      <c r="T27" s="176"/>
      <c r="U27" s="199"/>
      <c r="V27" s="199"/>
      <c r="W27" s="199"/>
      <c r="X27" s="199"/>
      <c r="Y27" s="199"/>
      <c r="Z27" s="199"/>
      <c r="AA27" s="199"/>
      <c r="AB27" s="199"/>
      <c r="AC27" s="199"/>
      <c r="AD27" s="199"/>
      <c r="AE27" s="199"/>
      <c r="AF27" s="199"/>
      <c r="AG27" s="199"/>
      <c r="AH27" s="199"/>
      <c r="AI27" s="199"/>
      <c r="AJ27" s="199"/>
      <c r="AK27" s="199"/>
      <c r="AL27" s="199"/>
      <c r="AM27" s="176"/>
      <c r="AN27" s="176"/>
      <c r="AO27" s="176"/>
      <c r="AP27" s="176"/>
      <c r="AQ27" s="176"/>
      <c r="AR27" s="176"/>
      <c r="AS27" s="176"/>
      <c r="AT27" s="176"/>
      <c r="AU27" s="176"/>
      <c r="AV27" s="176"/>
      <c r="AW27" s="176"/>
      <c r="AX27" s="176"/>
      <c r="AY27" s="176"/>
      <c r="AZ27" s="176"/>
      <c r="BA27" s="176"/>
      <c r="BB27" s="176"/>
      <c r="BC27" s="176"/>
      <c r="BD27" s="176"/>
      <c r="BE27" s="176"/>
      <c r="BF27" s="176"/>
    </row>
    <row r="28" spans="1:58" ht="16.5" outlineLevel="2" thickBot="1" x14ac:dyDescent="0.3">
      <c r="A28" s="264" t="s">
        <v>52</v>
      </c>
      <c r="B28" s="265" t="s">
        <v>53</v>
      </c>
      <c r="C28" s="266" t="s">
        <v>54</v>
      </c>
      <c r="D28" s="176"/>
      <c r="E28" s="176"/>
      <c r="F28" s="176"/>
      <c r="G28" s="176"/>
      <c r="H28" s="176"/>
      <c r="I28" s="176"/>
      <c r="J28" s="176"/>
      <c r="K28" s="176"/>
      <c r="L28" s="176"/>
      <c r="M28" s="176"/>
      <c r="N28" s="176"/>
      <c r="O28" s="176"/>
      <c r="P28" s="176"/>
      <c r="Q28" s="176"/>
      <c r="R28" s="176"/>
      <c r="S28" s="176"/>
      <c r="T28" s="176"/>
      <c r="U28" s="199"/>
      <c r="V28" s="199"/>
      <c r="W28" s="199"/>
      <c r="X28" s="199"/>
      <c r="Y28" s="199"/>
      <c r="Z28" s="199"/>
      <c r="AA28" s="199"/>
      <c r="AB28" s="199"/>
      <c r="AC28" s="199"/>
      <c r="AD28" s="199"/>
      <c r="AE28" s="199"/>
      <c r="AF28" s="406" t="s">
        <v>171</v>
      </c>
      <c r="AG28" s="407"/>
      <c r="AH28" s="407"/>
      <c r="AI28" s="407"/>
      <c r="AJ28" s="407"/>
      <c r="AK28" s="407"/>
      <c r="AL28" s="407"/>
      <c r="AM28" s="176"/>
      <c r="AN28" s="176"/>
      <c r="AO28" s="176"/>
      <c r="AP28" s="176"/>
      <c r="AQ28" s="176"/>
      <c r="AR28" s="176"/>
      <c r="AS28" s="176"/>
      <c r="AT28" s="176"/>
      <c r="AU28" s="176"/>
      <c r="AV28" s="176"/>
      <c r="AW28" s="176"/>
      <c r="AX28" s="176"/>
      <c r="AY28" s="176"/>
      <c r="AZ28" s="176"/>
      <c r="BA28" s="176"/>
      <c r="BB28" s="176"/>
      <c r="BC28" s="176"/>
      <c r="BD28" s="176"/>
      <c r="BE28" s="176"/>
      <c r="BF28" s="176"/>
    </row>
    <row r="29" spans="1:58" x14ac:dyDescent="0.25">
      <c r="A29" s="176"/>
      <c r="B29" s="176"/>
      <c r="C29" s="176"/>
      <c r="D29" s="176"/>
      <c r="E29" s="176"/>
      <c r="F29" s="176"/>
      <c r="G29" s="176"/>
      <c r="H29" s="176"/>
      <c r="I29" s="176"/>
      <c r="J29" s="176"/>
      <c r="K29" s="176"/>
      <c r="L29" s="176"/>
      <c r="M29" s="176"/>
      <c r="N29" s="176"/>
      <c r="O29" s="176"/>
      <c r="P29" s="176"/>
      <c r="Q29" s="176"/>
      <c r="R29" s="176"/>
      <c r="S29" s="176"/>
      <c r="T29" s="176"/>
      <c r="U29" s="199"/>
      <c r="V29" s="199"/>
      <c r="W29" s="199"/>
      <c r="X29" s="199"/>
      <c r="Y29" s="199"/>
      <c r="Z29" s="199"/>
      <c r="AA29" s="199"/>
      <c r="AB29" s="199"/>
      <c r="AC29" s="199"/>
      <c r="AD29" s="199"/>
      <c r="AE29" s="199"/>
      <c r="AF29" s="408" t="s">
        <v>207</v>
      </c>
      <c r="AG29" s="407"/>
      <c r="AH29" s="407"/>
      <c r="AI29" s="407"/>
      <c r="AJ29" s="407"/>
      <c r="AK29" s="407"/>
      <c r="AL29" s="407"/>
      <c r="AM29" s="176"/>
      <c r="AN29" s="176"/>
      <c r="AO29" s="176"/>
      <c r="AP29" s="176"/>
      <c r="AQ29" s="176"/>
      <c r="AR29" s="176"/>
      <c r="AS29" s="176"/>
      <c r="AT29" s="176"/>
      <c r="AU29" s="176"/>
      <c r="AV29" s="176"/>
      <c r="AW29" s="176"/>
      <c r="AX29" s="176"/>
      <c r="AY29" s="176"/>
      <c r="AZ29" s="176"/>
      <c r="BA29" s="176"/>
      <c r="BB29" s="176"/>
      <c r="BC29" s="176"/>
      <c r="BD29" s="176"/>
      <c r="BE29" s="176"/>
      <c r="BF29" s="176"/>
    </row>
    <row r="30" spans="1:58" ht="16.5" thickBot="1" x14ac:dyDescent="0.3">
      <c r="A30" s="179"/>
      <c r="B30" s="176"/>
      <c r="C30" s="176"/>
      <c r="D30" s="176"/>
      <c r="E30" s="176"/>
      <c r="F30" s="176"/>
      <c r="G30" s="176"/>
      <c r="H30" s="176"/>
      <c r="I30" s="176"/>
      <c r="J30" s="176"/>
      <c r="K30" s="176"/>
      <c r="L30" s="176"/>
      <c r="M30" s="176"/>
      <c r="N30" s="176"/>
      <c r="O30" s="176"/>
      <c r="P30" s="176"/>
      <c r="Q30" s="176"/>
      <c r="R30" s="176"/>
      <c r="S30" s="176"/>
      <c r="T30" s="176"/>
      <c r="U30" s="199"/>
      <c r="V30" s="199"/>
      <c r="W30" s="199"/>
      <c r="X30" s="199"/>
      <c r="Y30" s="199"/>
      <c r="Z30" s="199"/>
      <c r="AA30" s="199"/>
      <c r="AB30" s="199"/>
      <c r="AC30" s="199"/>
      <c r="AD30" s="199"/>
      <c r="AE30" s="199"/>
      <c r="AF30" s="409" t="s">
        <v>189</v>
      </c>
      <c r="AG30" s="407"/>
      <c r="AH30" s="407"/>
      <c r="AI30" s="407"/>
      <c r="AJ30" s="407"/>
      <c r="AK30" s="407"/>
      <c r="AL30" s="407"/>
      <c r="AM30" s="176"/>
      <c r="AN30" s="176"/>
      <c r="AO30" s="176"/>
      <c r="AP30" s="176"/>
      <c r="AQ30" s="176"/>
      <c r="AR30" s="176"/>
      <c r="AS30" s="176"/>
      <c r="AT30" s="176"/>
      <c r="AU30" s="176"/>
      <c r="AV30" s="176"/>
      <c r="AW30" s="176"/>
      <c r="AX30" s="176"/>
      <c r="AY30" s="176"/>
      <c r="AZ30" s="176"/>
      <c r="BA30" s="176"/>
      <c r="BB30" s="176"/>
      <c r="BC30" s="176"/>
      <c r="BD30" s="176"/>
      <c r="BE30" s="176"/>
      <c r="BF30" s="176"/>
    </row>
    <row r="31" spans="1:58" ht="18.75" x14ac:dyDescent="0.3">
      <c r="A31" s="526" t="s">
        <v>55</v>
      </c>
      <c r="B31" s="526"/>
      <c r="C31" s="526"/>
      <c r="D31" s="526"/>
      <c r="E31" s="526"/>
      <c r="F31" s="526"/>
      <c r="G31" s="526"/>
      <c r="H31" s="526"/>
      <c r="I31" s="526"/>
      <c r="J31" s="526"/>
      <c r="K31" s="526"/>
      <c r="L31" s="526"/>
      <c r="M31" s="526"/>
      <c r="N31" s="526"/>
      <c r="O31" s="526"/>
      <c r="P31" s="526"/>
      <c r="Q31" s="526"/>
      <c r="R31" s="526"/>
      <c r="S31" s="269"/>
      <c r="T31" s="269"/>
      <c r="U31" s="199"/>
      <c r="V31" s="199"/>
      <c r="W31" s="199"/>
      <c r="X31" s="199"/>
      <c r="Y31" s="199"/>
      <c r="Z31" s="199"/>
      <c r="AA31" s="199"/>
      <c r="AB31" s="199"/>
      <c r="AC31" s="199"/>
      <c r="AD31" s="199"/>
      <c r="AE31" s="199"/>
      <c r="AF31" s="410" t="s">
        <v>208</v>
      </c>
      <c r="AG31" s="407"/>
      <c r="AH31" s="407"/>
      <c r="AI31" s="407"/>
      <c r="AJ31" s="407"/>
      <c r="AK31" s="411"/>
      <c r="AL31" s="407"/>
      <c r="AM31" s="176"/>
      <c r="AN31" s="176"/>
      <c r="AO31" s="176"/>
      <c r="AP31" s="176"/>
      <c r="AQ31" s="176"/>
      <c r="AR31" s="176"/>
      <c r="AS31" s="176"/>
      <c r="AT31" s="176"/>
      <c r="AU31" s="176"/>
      <c r="AV31" s="176"/>
      <c r="AW31" s="176"/>
      <c r="AX31" s="176"/>
      <c r="AY31" s="176"/>
      <c r="AZ31" s="176"/>
      <c r="BA31" s="176"/>
      <c r="BB31" s="176"/>
      <c r="BC31" s="176"/>
      <c r="BD31" s="176"/>
      <c r="BE31" s="176"/>
      <c r="BF31" s="176"/>
    </row>
    <row r="32" spans="1:58" ht="63" x14ac:dyDescent="0.25">
      <c r="A32" s="271" t="s">
        <v>56</v>
      </c>
      <c r="B32" s="272" t="s">
        <v>57</v>
      </c>
      <c r="C32" s="272" t="s">
        <v>58</v>
      </c>
      <c r="D32" s="272" t="s">
        <v>59</v>
      </c>
      <c r="E32" s="272" t="s">
        <v>60</v>
      </c>
      <c r="F32" s="273" t="s">
        <v>61</v>
      </c>
      <c r="G32" s="273" t="s">
        <v>62</v>
      </c>
      <c r="H32" s="272" t="s">
        <v>63</v>
      </c>
      <c r="I32" s="272" t="s">
        <v>64</v>
      </c>
      <c r="J32" s="272" t="s">
        <v>65</v>
      </c>
      <c r="K32" s="272" t="s">
        <v>66</v>
      </c>
      <c r="L32" s="273" t="s">
        <v>67</v>
      </c>
      <c r="M32" s="273" t="s">
        <v>68</v>
      </c>
      <c r="N32" s="272" t="s">
        <v>69</v>
      </c>
      <c r="O32" s="272" t="s">
        <v>70</v>
      </c>
      <c r="P32" s="272" t="s">
        <v>71</v>
      </c>
      <c r="Q32" s="272" t="s">
        <v>72</v>
      </c>
      <c r="R32" s="274" t="s">
        <v>73</v>
      </c>
      <c r="S32" s="275"/>
      <c r="T32" s="275"/>
      <c r="U32" s="199"/>
      <c r="V32" s="199"/>
      <c r="W32" s="199"/>
      <c r="X32" s="199"/>
      <c r="Y32" s="199"/>
      <c r="Z32" s="199"/>
      <c r="AA32" s="199"/>
      <c r="AB32" s="199"/>
      <c r="AC32" s="199"/>
      <c r="AD32" s="199"/>
      <c r="AE32" s="199"/>
      <c r="AF32" s="409" t="s">
        <v>191</v>
      </c>
      <c r="AG32" s="407"/>
      <c r="AH32" s="407"/>
      <c r="AI32" s="407"/>
      <c r="AJ32" s="407"/>
      <c r="AK32" s="407"/>
      <c r="AL32" s="407"/>
      <c r="AM32" s="176"/>
      <c r="AN32" s="176"/>
      <c r="AO32" s="176"/>
      <c r="AP32" s="176"/>
      <c r="AQ32" s="176"/>
      <c r="AR32" s="176"/>
      <c r="AS32" s="176"/>
      <c r="AT32" s="176"/>
      <c r="AU32" s="176"/>
      <c r="AV32" s="176"/>
      <c r="AW32" s="176"/>
      <c r="AX32" s="176"/>
      <c r="AY32" s="176"/>
      <c r="AZ32" s="176"/>
      <c r="BA32" s="176"/>
      <c r="BB32" s="176"/>
      <c r="BC32" s="176"/>
      <c r="BD32" s="176"/>
      <c r="BE32" s="176"/>
      <c r="BF32" s="176"/>
    </row>
    <row r="33" spans="1:58" x14ac:dyDescent="0.25">
      <c r="A33" s="276">
        <v>1</v>
      </c>
      <c r="B33" s="277">
        <v>12.5</v>
      </c>
      <c r="C33" s="278">
        <f>B13</f>
        <v>3.5</v>
      </c>
      <c r="D33" s="279">
        <v>500.43</v>
      </c>
      <c r="E33" s="280">
        <f t="shared" ref="E33:E38" si="1">(B33*D33*$B$20*C33)/($B$19*$B$27)</f>
        <v>43.787612450428696</v>
      </c>
      <c r="F33" s="281">
        <v>45.12</v>
      </c>
      <c r="G33" s="281">
        <v>0.7</v>
      </c>
      <c r="H33" s="282">
        <f>F33-G33</f>
        <v>44.419999999999995</v>
      </c>
      <c r="I33" s="283">
        <f t="shared" ref="I33:I38" si="2" xml:space="preserve"> (H33*$B$27*$B$19)/ (D33*$B$20*C33)</f>
        <v>12.680526955622213</v>
      </c>
      <c r="J33" s="279">
        <v>454.65</v>
      </c>
      <c r="K33" s="284">
        <v>686.5</v>
      </c>
      <c r="L33" s="279">
        <v>591.44000000000005</v>
      </c>
      <c r="M33" s="279">
        <v>700.55</v>
      </c>
      <c r="N33" s="285">
        <v>100</v>
      </c>
      <c r="O33" s="286">
        <f t="shared" ref="O33:O35" si="3">L33-J33</f>
        <v>136.79000000000008</v>
      </c>
      <c r="P33" s="280">
        <f>M33-K33</f>
        <v>14.049999999999955</v>
      </c>
      <c r="Q33" s="280">
        <f>((O33+P33)/O33)*(D33/(D33+H33))*C33</f>
        <v>3.544839695928478</v>
      </c>
      <c r="R33" s="287">
        <f>$B$24/Q33*100</f>
        <v>178.42055767315517</v>
      </c>
      <c r="S33" s="288"/>
      <c r="T33" s="288"/>
      <c r="U33" s="199"/>
      <c r="V33" s="199"/>
      <c r="W33" s="199"/>
      <c r="X33" s="199"/>
      <c r="Y33" s="199"/>
      <c r="Z33" s="199"/>
      <c r="AA33" s="199"/>
      <c r="AB33" s="199"/>
      <c r="AC33" s="199"/>
      <c r="AD33" s="199"/>
      <c r="AE33" s="199"/>
      <c r="AF33" s="407"/>
      <c r="AG33" s="407"/>
      <c r="AH33" s="407"/>
      <c r="AI33" s="407"/>
      <c r="AJ33" s="407"/>
      <c r="AK33" s="407"/>
      <c r="AL33" s="407"/>
      <c r="AM33" s="176"/>
      <c r="AN33" s="176"/>
      <c r="AO33" s="176"/>
      <c r="AP33" s="176"/>
      <c r="AQ33" s="176"/>
      <c r="AR33" s="176"/>
      <c r="AS33" s="176"/>
      <c r="AT33" s="176"/>
      <c r="AU33" s="176"/>
      <c r="AV33" s="176"/>
      <c r="AW33" s="176"/>
      <c r="AX33" s="176"/>
      <c r="AY33" s="176"/>
      <c r="AZ33" s="176"/>
      <c r="BA33" s="176"/>
      <c r="BB33" s="176"/>
      <c r="BC33" s="176"/>
      <c r="BD33" s="176"/>
      <c r="BE33" s="176"/>
      <c r="BF33" s="176"/>
    </row>
    <row r="34" spans="1:58" x14ac:dyDescent="0.25">
      <c r="A34" s="276">
        <v>2</v>
      </c>
      <c r="B34" s="277">
        <v>15</v>
      </c>
      <c r="C34" s="278">
        <f>B13</f>
        <v>3.5</v>
      </c>
      <c r="D34" s="279">
        <v>500.2</v>
      </c>
      <c r="E34" s="280">
        <f t="shared" si="1"/>
        <v>52.520984947435849</v>
      </c>
      <c r="F34" s="279">
        <v>54.05</v>
      </c>
      <c r="G34" s="279">
        <v>0.75</v>
      </c>
      <c r="H34" s="282">
        <f>F34-G34</f>
        <v>53.3</v>
      </c>
      <c r="I34" s="283">
        <f t="shared" si="2"/>
        <v>15.222486798375112</v>
      </c>
      <c r="J34" s="279">
        <v>449.1</v>
      </c>
      <c r="K34" s="284">
        <v>399.12</v>
      </c>
      <c r="L34" s="279">
        <v>590.25</v>
      </c>
      <c r="M34" s="279">
        <v>758.25</v>
      </c>
      <c r="N34" s="285">
        <v>100</v>
      </c>
      <c r="O34" s="286">
        <f t="shared" si="3"/>
        <v>141.14999999999998</v>
      </c>
      <c r="P34" s="280">
        <f>M34-K34</f>
        <v>359.13</v>
      </c>
      <c r="Q34" s="280">
        <f>((O34+P34)/O34)*(D34/(D34+H34))*C34</f>
        <v>11.210535679143543</v>
      </c>
      <c r="R34" s="287">
        <f>$B$24/Q34*100</f>
        <v>56.417667586230472</v>
      </c>
      <c r="S34" s="288"/>
      <c r="T34" s="288"/>
      <c r="U34" s="199"/>
      <c r="V34" s="199"/>
      <c r="W34" s="199"/>
      <c r="X34" s="199"/>
      <c r="Y34" s="199"/>
      <c r="Z34" s="199"/>
      <c r="AA34" s="199"/>
      <c r="AB34" s="199"/>
      <c r="AC34" s="199"/>
      <c r="AD34" s="199"/>
      <c r="AE34" s="199"/>
      <c r="AF34" s="412" t="s">
        <v>192</v>
      </c>
      <c r="AG34" s="407"/>
      <c r="AH34" s="407"/>
      <c r="AI34" s="407"/>
      <c r="AJ34" s="407"/>
      <c r="AK34" s="407"/>
      <c r="AL34" s="407"/>
      <c r="AM34" s="176"/>
      <c r="AN34" s="176"/>
      <c r="AO34" s="176"/>
      <c r="AP34" s="176"/>
      <c r="AQ34" s="176"/>
      <c r="AR34" s="176"/>
      <c r="AS34" s="176"/>
      <c r="AT34" s="176"/>
      <c r="AU34" s="176"/>
      <c r="AV34" s="176"/>
      <c r="AW34" s="176"/>
      <c r="AX34" s="176"/>
      <c r="AY34" s="176"/>
      <c r="AZ34" s="176"/>
      <c r="BA34" s="176"/>
      <c r="BB34" s="176"/>
      <c r="BC34" s="176"/>
      <c r="BD34" s="176"/>
      <c r="BE34" s="176"/>
      <c r="BF34" s="176"/>
    </row>
    <row r="35" spans="1:58" x14ac:dyDescent="0.25">
      <c r="A35" s="276">
        <v>3</v>
      </c>
      <c r="B35" s="277">
        <v>17</v>
      </c>
      <c r="C35" s="278">
        <f>B13</f>
        <v>3.5</v>
      </c>
      <c r="D35" s="279">
        <v>500.03</v>
      </c>
      <c r="E35" s="287">
        <f t="shared" si="1"/>
        <v>59.50355294622522</v>
      </c>
      <c r="F35" s="279">
        <v>61.06</v>
      </c>
      <c r="G35" s="279">
        <v>0.82</v>
      </c>
      <c r="H35" s="424">
        <f>F35-G35</f>
        <v>60.24</v>
      </c>
      <c r="I35" s="283">
        <f t="shared" si="2"/>
        <v>17.210400880187535</v>
      </c>
      <c r="J35" s="279">
        <v>406.27</v>
      </c>
      <c r="K35" s="284">
        <v>400.99</v>
      </c>
      <c r="L35" s="279">
        <v>550.25</v>
      </c>
      <c r="M35" s="279">
        <v>784.75</v>
      </c>
      <c r="N35" s="285">
        <v>100</v>
      </c>
      <c r="O35" s="286">
        <f t="shared" si="3"/>
        <v>143.98000000000002</v>
      </c>
      <c r="P35" s="280">
        <f>M35-K35</f>
        <v>383.76</v>
      </c>
      <c r="Q35" s="280">
        <f t="shared" ref="Q35" si="4">((O35+P35)/O35)*(D35/(D35+H35))*C35</f>
        <v>11.449448831638936</v>
      </c>
      <c r="R35" s="287">
        <f>$B$24/Q35*100</f>
        <v>55.240412417211651</v>
      </c>
      <c r="S35" s="288"/>
      <c r="T35" s="288"/>
      <c r="U35" s="199"/>
      <c r="V35" s="199"/>
      <c r="W35" s="199"/>
      <c r="X35" s="199"/>
      <c r="Y35" s="199"/>
      <c r="Z35" s="199"/>
      <c r="AA35" s="199"/>
      <c r="AB35" s="199"/>
      <c r="AC35" s="199"/>
      <c r="AD35" s="199"/>
      <c r="AE35" s="199"/>
      <c r="AF35" s="423" t="s">
        <v>193</v>
      </c>
      <c r="AG35" s="407"/>
      <c r="AH35" s="407"/>
      <c r="AI35" s="407"/>
      <c r="AJ35" s="407"/>
      <c r="AK35" s="407"/>
      <c r="AL35" s="407"/>
      <c r="AM35" s="176"/>
      <c r="AN35" s="176"/>
      <c r="AO35" s="176"/>
      <c r="AP35" s="176"/>
      <c r="AQ35" s="176"/>
      <c r="AR35" s="176"/>
      <c r="AS35" s="176"/>
      <c r="AT35" s="176"/>
      <c r="AU35" s="176"/>
      <c r="AV35" s="176"/>
      <c r="AW35" s="176"/>
      <c r="AX35" s="176"/>
      <c r="AY35" s="176"/>
      <c r="AZ35" s="176"/>
      <c r="BA35" s="176"/>
      <c r="BB35" s="176"/>
      <c r="BC35" s="176"/>
      <c r="BD35" s="176"/>
      <c r="BE35" s="176"/>
      <c r="BF35" s="176"/>
    </row>
    <row r="36" spans="1:58" x14ac:dyDescent="0.25">
      <c r="A36" s="276">
        <v>4</v>
      </c>
      <c r="B36" s="277">
        <v>19</v>
      </c>
      <c r="C36" s="278">
        <f>B13</f>
        <v>3.5</v>
      </c>
      <c r="D36" s="279">
        <v>500.25</v>
      </c>
      <c r="E36" s="287">
        <f t="shared" si="1"/>
        <v>66.533230931512833</v>
      </c>
      <c r="F36" s="279">
        <v>68.45</v>
      </c>
      <c r="G36" s="279">
        <v>0.81</v>
      </c>
      <c r="H36" s="424">
        <f>F36-G36</f>
        <v>67.64</v>
      </c>
      <c r="I36" s="283">
        <f t="shared" si="2"/>
        <v>19.316061793585558</v>
      </c>
      <c r="J36" s="279">
        <v>204.68</v>
      </c>
      <c r="K36" s="284">
        <v>326.43</v>
      </c>
      <c r="L36" s="279">
        <v>350.94</v>
      </c>
      <c r="M36" s="279">
        <v>678.38</v>
      </c>
      <c r="N36" s="285">
        <v>100</v>
      </c>
      <c r="O36" s="286">
        <f>L36-J36</f>
        <v>146.26</v>
      </c>
      <c r="P36" s="280">
        <f>M36-K36</f>
        <v>351.95</v>
      </c>
      <c r="Q36" s="280">
        <f>((O36+P36)/O36)*(D36/(D36+H36))*C36</f>
        <v>10.502139717364418</v>
      </c>
      <c r="R36" s="287">
        <f>$B$24/Q36*100</f>
        <v>60.223182363852601</v>
      </c>
      <c r="S36" s="288"/>
      <c r="T36" s="288"/>
      <c r="U36" s="199"/>
      <c r="V36" s="199"/>
      <c r="W36" s="199"/>
      <c r="X36" s="199"/>
      <c r="Y36" s="199"/>
      <c r="Z36" s="199"/>
      <c r="AA36" s="199"/>
      <c r="AB36" s="199"/>
      <c r="AC36" s="199"/>
      <c r="AD36" s="199"/>
      <c r="AE36" s="199"/>
      <c r="AF36" s="423" t="s">
        <v>209</v>
      </c>
      <c r="AG36" s="407"/>
      <c r="AH36" s="407"/>
      <c r="AI36" s="407"/>
      <c r="AJ36" s="407"/>
      <c r="AK36" s="407"/>
      <c r="AL36" s="407"/>
      <c r="AM36" s="176"/>
      <c r="AN36" s="176"/>
      <c r="AO36" s="176"/>
      <c r="AP36" s="176"/>
      <c r="AQ36" s="176"/>
      <c r="AR36" s="176"/>
      <c r="AS36" s="176"/>
      <c r="AT36" s="176"/>
      <c r="AU36" s="176"/>
      <c r="AV36" s="176"/>
      <c r="AW36" s="176"/>
      <c r="AX36" s="176"/>
      <c r="AY36" s="176"/>
      <c r="AZ36" s="176"/>
      <c r="BA36" s="176"/>
      <c r="BB36" s="176"/>
      <c r="BC36" s="176"/>
      <c r="BD36" s="176"/>
      <c r="BE36" s="176"/>
      <c r="BF36" s="176"/>
    </row>
    <row r="37" spans="1:58" x14ac:dyDescent="0.25">
      <c r="A37" s="276">
        <v>5</v>
      </c>
      <c r="B37" s="277">
        <v>20.5</v>
      </c>
      <c r="C37" s="278">
        <f>B13</f>
        <v>3.5</v>
      </c>
      <c r="D37" s="279">
        <v>500.23</v>
      </c>
      <c r="E37" s="280">
        <f t="shared" si="1"/>
        <v>71.782984426928508</v>
      </c>
      <c r="F37" s="426">
        <v>73.63</v>
      </c>
      <c r="G37" s="426">
        <v>0.81</v>
      </c>
      <c r="H37" s="282">
        <f t="shared" ref="H37:H38" si="5">F37-G37</f>
        <v>72.819999999999993</v>
      </c>
      <c r="I37" s="283">
        <f t="shared" si="2"/>
        <v>20.796154017803566</v>
      </c>
      <c r="J37" s="279">
        <v>205.9</v>
      </c>
      <c r="K37" s="284">
        <v>325.31</v>
      </c>
      <c r="L37" s="279">
        <v>346.82</v>
      </c>
      <c r="M37" s="279">
        <v>708.39</v>
      </c>
      <c r="N37" s="285">
        <v>100</v>
      </c>
      <c r="O37" s="286">
        <f t="shared" ref="O37:P38" si="6">L37-J37</f>
        <v>140.91999999999999</v>
      </c>
      <c r="P37" s="280">
        <f t="shared" si="6"/>
        <v>383.08</v>
      </c>
      <c r="Q37" s="280">
        <f t="shared" ref="Q37:Q38" si="7">((O37+P37)/O37)*(D37/(D37+H37))*C37</f>
        <v>11.360669189168924</v>
      </c>
      <c r="R37" s="287">
        <f t="shared" ref="R37:R38" si="8">$B$24/Q37*100</f>
        <v>55.672096852576743</v>
      </c>
      <c r="S37" s="288"/>
      <c r="T37" s="288"/>
      <c r="U37" s="199"/>
      <c r="V37" s="199"/>
      <c r="W37" s="199"/>
      <c r="X37" s="199"/>
      <c r="Y37" s="199"/>
      <c r="Z37" s="199"/>
      <c r="AA37" s="199"/>
      <c r="AB37" s="199"/>
      <c r="AC37" s="199"/>
      <c r="AD37" s="199"/>
      <c r="AE37" s="199"/>
      <c r="AF37" s="425">
        <f>AI24-AK24</f>
        <v>-1.6034547698368407</v>
      </c>
      <c r="AG37" s="407" t="s">
        <v>195</v>
      </c>
      <c r="AH37" s="407"/>
      <c r="AI37" s="407"/>
      <c r="AJ37" s="407"/>
      <c r="AK37" s="407"/>
      <c r="AL37" s="407"/>
      <c r="AM37" s="176"/>
      <c r="AN37" s="176"/>
      <c r="AO37" s="176"/>
      <c r="AP37" s="176"/>
      <c r="AQ37" s="176"/>
      <c r="AR37" s="176"/>
      <c r="AS37" s="176"/>
      <c r="AT37" s="176"/>
      <c r="AU37" s="176"/>
      <c r="AV37" s="176"/>
      <c r="AW37" s="176"/>
      <c r="AX37" s="176"/>
      <c r="AY37" s="176"/>
      <c r="AZ37" s="176"/>
      <c r="BA37" s="176"/>
      <c r="BB37" s="176"/>
      <c r="BC37" s="176"/>
      <c r="BD37" s="176"/>
      <c r="BE37" s="176"/>
      <c r="BF37" s="176"/>
    </row>
    <row r="38" spans="1:58" x14ac:dyDescent="0.25">
      <c r="A38" s="276">
        <v>6</v>
      </c>
      <c r="B38" s="277">
        <v>21.5</v>
      </c>
      <c r="C38" s="278">
        <f>B13</f>
        <v>3.5</v>
      </c>
      <c r="D38" s="279">
        <v>500.05</v>
      </c>
      <c r="E38" s="280">
        <f t="shared" si="1"/>
        <v>75.257503431128072</v>
      </c>
      <c r="F38" s="279">
        <v>77.28</v>
      </c>
      <c r="G38" s="279">
        <v>1.02</v>
      </c>
      <c r="H38" s="282">
        <f t="shared" si="5"/>
        <v>76.260000000000005</v>
      </c>
      <c r="I38" s="283">
        <f t="shared" si="2"/>
        <v>21.78639903329336</v>
      </c>
      <c r="J38" s="279">
        <v>159.41999999999999</v>
      </c>
      <c r="K38" s="284">
        <v>408.18</v>
      </c>
      <c r="L38" s="279">
        <v>306.89999999999998</v>
      </c>
      <c r="M38" s="279">
        <v>805.49</v>
      </c>
      <c r="N38" s="285">
        <v>100</v>
      </c>
      <c r="O38" s="286">
        <f t="shared" si="6"/>
        <v>147.47999999999999</v>
      </c>
      <c r="P38" s="280">
        <f t="shared" si="6"/>
        <v>397.31</v>
      </c>
      <c r="Q38" s="280">
        <f t="shared" si="7"/>
        <v>11.218151964625612</v>
      </c>
      <c r="R38" s="287">
        <f t="shared" si="8"/>
        <v>56.379364212918702</v>
      </c>
      <c r="S38" s="288"/>
      <c r="T38" s="288"/>
      <c r="U38" s="199"/>
      <c r="V38" s="199"/>
      <c r="W38" s="199"/>
      <c r="X38" s="199"/>
      <c r="Y38" s="199"/>
      <c r="Z38" s="199"/>
      <c r="AA38" s="199"/>
      <c r="AB38" s="199"/>
      <c r="AC38" s="199"/>
      <c r="AD38" s="199"/>
      <c r="AE38" s="199"/>
      <c r="AF38" s="407"/>
      <c r="AG38" s="407"/>
      <c r="AH38" s="407"/>
      <c r="AI38" s="407"/>
      <c r="AJ38" s="407"/>
      <c r="AK38" s="407"/>
      <c r="AL38" s="407"/>
      <c r="AM38" s="176"/>
      <c r="AN38" s="176"/>
      <c r="AO38" s="176"/>
      <c r="AP38" s="176"/>
      <c r="AQ38" s="176"/>
      <c r="AR38" s="176"/>
      <c r="AS38" s="176"/>
      <c r="AT38" s="176"/>
      <c r="AU38" s="176"/>
      <c r="AV38" s="176"/>
      <c r="AW38" s="176"/>
      <c r="AX38" s="176"/>
      <c r="AY38" s="176"/>
      <c r="AZ38" s="176"/>
      <c r="BA38" s="176"/>
      <c r="BB38" s="176"/>
      <c r="BC38" s="176"/>
      <c r="BD38" s="176"/>
      <c r="BE38" s="176"/>
      <c r="BF38" s="176"/>
    </row>
    <row r="39" spans="1:58" ht="18.600000000000001" customHeight="1" thickBot="1" x14ac:dyDescent="0.3">
      <c r="A39" s="276"/>
      <c r="B39" s="277"/>
      <c r="C39" s="278"/>
      <c r="D39" s="279"/>
      <c r="E39" s="280"/>
      <c r="F39" s="281"/>
      <c r="G39" s="281"/>
      <c r="H39" s="282"/>
      <c r="I39" s="283"/>
      <c r="J39" s="279"/>
      <c r="K39" s="284"/>
      <c r="L39" s="279"/>
      <c r="M39" s="279"/>
      <c r="N39" s="285"/>
      <c r="O39" s="286"/>
      <c r="P39" s="280"/>
      <c r="Q39" s="280"/>
      <c r="R39" s="287"/>
      <c r="S39" s="288"/>
      <c r="T39" s="288"/>
      <c r="U39" s="199"/>
      <c r="V39" s="199"/>
      <c r="W39" s="199"/>
      <c r="X39" s="199"/>
      <c r="Y39" s="199"/>
      <c r="Z39" s="199"/>
      <c r="AA39" s="199"/>
      <c r="AB39" s="199"/>
      <c r="AC39" s="199"/>
      <c r="AD39" s="199"/>
      <c r="AE39" s="199"/>
      <c r="AF39" s="199"/>
      <c r="AG39" s="199"/>
      <c r="AH39" s="199"/>
      <c r="AI39" s="199"/>
      <c r="AJ39" s="199"/>
      <c r="AK39" s="199"/>
      <c r="AL39" s="199"/>
      <c r="AM39" s="176"/>
      <c r="AN39" s="176"/>
      <c r="AO39" s="176"/>
      <c r="AP39" s="176"/>
      <c r="AQ39" s="176"/>
      <c r="AR39" s="176"/>
      <c r="AS39" s="176"/>
      <c r="AT39" s="176"/>
      <c r="AU39" s="176"/>
      <c r="AV39" s="176"/>
      <c r="AW39" s="176"/>
      <c r="AX39" s="176"/>
      <c r="AY39" s="176"/>
      <c r="AZ39" s="176"/>
      <c r="BA39" s="176"/>
      <c r="BB39" s="176"/>
      <c r="BC39" s="176"/>
      <c r="BD39" s="176"/>
      <c r="BE39" s="176"/>
      <c r="BF39" s="176"/>
    </row>
    <row r="40" spans="1:58" ht="16.350000000000001" customHeight="1" x14ac:dyDescent="0.25">
      <c r="A40" s="273" t="s">
        <v>56</v>
      </c>
      <c r="B40" s="273" t="s">
        <v>75</v>
      </c>
      <c r="C40" s="292" t="s">
        <v>76</v>
      </c>
      <c r="D40" s="528" t="s">
        <v>172</v>
      </c>
      <c r="E40" s="528"/>
      <c r="F40" s="528"/>
      <c r="G40" s="528"/>
      <c r="H40" s="528"/>
      <c r="I40" s="531" t="s">
        <v>78</v>
      </c>
      <c r="J40" s="531"/>
      <c r="K40" s="531"/>
      <c r="L40" s="531"/>
      <c r="M40" s="531"/>
      <c r="N40" s="176"/>
      <c r="O40" s="176"/>
      <c r="P40" s="176"/>
      <c r="Q40" s="176"/>
      <c r="R40" s="176"/>
      <c r="S40" s="176"/>
      <c r="T40" s="176"/>
      <c r="U40" s="199"/>
      <c r="V40" s="199"/>
      <c r="W40" s="199"/>
      <c r="X40" s="199"/>
      <c r="Y40" s="199"/>
      <c r="Z40" s="199"/>
      <c r="AA40" s="199"/>
      <c r="AB40" s="199"/>
      <c r="AC40" s="199"/>
      <c r="AD40" s="199"/>
      <c r="AE40" s="199"/>
      <c r="AF40" s="199"/>
      <c r="AG40" s="199"/>
      <c r="AH40" s="199"/>
      <c r="AI40" s="199"/>
      <c r="AJ40" s="199"/>
      <c r="AK40" s="199"/>
      <c r="AL40" s="293"/>
      <c r="AM40" s="176"/>
      <c r="AN40" s="176"/>
      <c r="AO40" s="176"/>
      <c r="AP40" s="176"/>
      <c r="AQ40" s="176"/>
      <c r="AR40" s="176"/>
      <c r="AS40" s="176"/>
      <c r="AT40" s="176"/>
      <c r="AU40" s="176"/>
      <c r="AV40" s="176"/>
      <c r="AW40" s="176"/>
      <c r="AX40" s="176"/>
      <c r="AY40" s="176"/>
      <c r="AZ40" s="176"/>
      <c r="BA40" s="176"/>
      <c r="BB40" s="176"/>
      <c r="BC40" s="176"/>
      <c r="BD40" s="176"/>
      <c r="BE40" s="176"/>
      <c r="BF40" s="176"/>
    </row>
    <row r="41" spans="1:58" ht="15.75" customHeight="1" x14ac:dyDescent="0.25">
      <c r="A41" s="294">
        <v>1</v>
      </c>
      <c r="B41" s="295">
        <f>AVERAGE(D41:H41)</f>
        <v>120.8</v>
      </c>
      <c r="C41" s="295" t="e">
        <f t="shared" ref="C41" si="9">AVERAGE(I41:K41)</f>
        <v>#DIV/0!</v>
      </c>
      <c r="D41" s="297">
        <v>120.8</v>
      </c>
      <c r="E41" s="297"/>
      <c r="F41" s="297"/>
      <c r="G41" s="297"/>
      <c r="H41" s="297"/>
      <c r="I41" s="296"/>
      <c r="J41" s="297"/>
      <c r="K41" s="297"/>
      <c r="L41" s="297"/>
      <c r="M41" s="297"/>
      <c r="N41" s="176"/>
      <c r="O41" s="176"/>
      <c r="P41" s="176"/>
      <c r="Q41" s="176"/>
      <c r="R41" s="176"/>
      <c r="S41" s="176"/>
      <c r="T41" s="176"/>
      <c r="U41" s="199"/>
      <c r="V41" s="199"/>
      <c r="W41" s="199"/>
      <c r="X41" s="199"/>
      <c r="Y41" s="199"/>
      <c r="Z41" s="199"/>
      <c r="AA41" s="199"/>
      <c r="AB41" s="199"/>
      <c r="AC41" s="199"/>
      <c r="AD41" s="199"/>
      <c r="AE41" s="199"/>
      <c r="AF41" s="199"/>
      <c r="AG41" s="199"/>
      <c r="AH41" s="199"/>
      <c r="AI41" s="199"/>
      <c r="AJ41" s="199"/>
      <c r="AK41" s="199"/>
      <c r="AL41" s="199"/>
      <c r="AM41" s="176"/>
      <c r="AN41" s="176"/>
      <c r="AO41" s="176"/>
      <c r="AP41" s="176"/>
      <c r="AQ41" s="176"/>
      <c r="AR41" s="176"/>
      <c r="AS41" s="176"/>
      <c r="AT41" s="176"/>
      <c r="AU41" s="176"/>
      <c r="AV41" s="176"/>
      <c r="AW41" s="176"/>
      <c r="AX41" s="176"/>
      <c r="AY41" s="176"/>
      <c r="AZ41" s="176"/>
      <c r="BA41" s="176"/>
      <c r="BB41" s="176"/>
      <c r="BC41" s="176"/>
      <c r="BD41" s="176"/>
      <c r="BE41" s="176"/>
      <c r="BF41" s="176"/>
    </row>
    <row r="42" spans="1:58" x14ac:dyDescent="0.25">
      <c r="A42" s="294">
        <v>2</v>
      </c>
      <c r="B42" s="427">
        <f>E42</f>
        <v>73.099999999999994</v>
      </c>
      <c r="C42" s="295" t="e">
        <f>AVERAGE(I42:K42)</f>
        <v>#DIV/0!</v>
      </c>
      <c r="D42" s="296">
        <v>68.8</v>
      </c>
      <c r="E42" s="297">
        <v>73.099999999999994</v>
      </c>
      <c r="F42" s="297"/>
      <c r="G42" s="297"/>
      <c r="H42" s="297"/>
      <c r="I42" s="296"/>
      <c r="J42" s="297"/>
      <c r="K42" s="297"/>
      <c r="L42" s="297"/>
      <c r="M42" s="297"/>
      <c r="N42" s="176"/>
      <c r="O42" s="176"/>
      <c r="P42" s="176"/>
      <c r="Q42" s="176"/>
      <c r="R42" s="176"/>
      <c r="S42" s="176"/>
      <c r="T42" s="176"/>
      <c r="U42" s="199"/>
      <c r="V42" s="199"/>
      <c r="W42" s="199"/>
      <c r="X42" s="199"/>
      <c r="Y42" s="199"/>
      <c r="Z42" s="199"/>
      <c r="AA42" s="199"/>
      <c r="AB42" s="199"/>
      <c r="AC42" s="199"/>
      <c r="AD42" s="199"/>
      <c r="AE42" s="199"/>
      <c r="AF42" s="199"/>
      <c r="AG42" s="199"/>
      <c r="AH42" s="199"/>
      <c r="AI42" s="199"/>
      <c r="AJ42" s="199"/>
      <c r="AK42" s="199"/>
      <c r="AL42" s="199"/>
      <c r="AM42" s="176"/>
      <c r="AN42" s="176"/>
      <c r="AO42" s="176"/>
      <c r="AP42" s="176"/>
      <c r="AQ42" s="176"/>
      <c r="AR42" s="176"/>
      <c r="AS42" s="176"/>
      <c r="AT42" s="176"/>
      <c r="AU42" s="176"/>
      <c r="AV42" s="176"/>
      <c r="AW42" s="176"/>
      <c r="AX42" s="176"/>
      <c r="AY42" s="176"/>
      <c r="AZ42" s="176"/>
      <c r="BA42" s="176"/>
      <c r="BB42" s="176"/>
      <c r="BC42" s="176"/>
      <c r="BD42" s="176"/>
      <c r="BE42" s="176"/>
      <c r="BF42" s="176"/>
    </row>
    <row r="43" spans="1:58" x14ac:dyDescent="0.25">
      <c r="A43" s="294">
        <v>3</v>
      </c>
      <c r="B43" s="295">
        <f>E43</f>
        <v>55.9</v>
      </c>
      <c r="C43" s="295" t="e">
        <f t="shared" ref="C43:C45" si="10">AVERAGE(I43:K43)</f>
        <v>#DIV/0!</v>
      </c>
      <c r="D43" s="296">
        <v>65.5</v>
      </c>
      <c r="E43" s="297">
        <v>55.9</v>
      </c>
      <c r="F43" s="297"/>
      <c r="G43" s="297"/>
      <c r="H43" s="297"/>
      <c r="I43" s="296"/>
      <c r="J43" s="297"/>
      <c r="K43" s="297"/>
      <c r="L43" s="297"/>
      <c r="M43" s="297"/>
      <c r="N43" s="176"/>
      <c r="O43" s="176"/>
      <c r="P43" s="176"/>
      <c r="Q43" s="176"/>
      <c r="R43" s="176"/>
      <c r="S43" s="176"/>
      <c r="T43" s="176"/>
      <c r="U43" s="199"/>
      <c r="V43" s="199"/>
      <c r="W43" s="199"/>
      <c r="X43" s="199"/>
      <c r="Y43" s="199"/>
      <c r="Z43" s="199"/>
      <c r="AA43" s="199"/>
      <c r="AB43" s="199"/>
      <c r="AC43" s="199"/>
      <c r="AD43" s="199"/>
      <c r="AE43" s="199"/>
      <c r="AF43" s="199"/>
      <c r="AG43" s="199"/>
      <c r="AH43" s="199"/>
      <c r="AI43" s="199"/>
      <c r="AJ43" s="199"/>
      <c r="AK43" s="199"/>
      <c r="AL43" s="293"/>
      <c r="AM43" s="176"/>
      <c r="AN43" s="176"/>
      <c r="AO43" s="176"/>
      <c r="AP43" s="176"/>
      <c r="AQ43" s="176"/>
      <c r="AR43" s="176"/>
      <c r="AS43" s="176"/>
      <c r="AT43" s="176"/>
      <c r="AU43" s="176"/>
      <c r="AV43" s="176"/>
      <c r="AW43" s="176"/>
      <c r="AX43" s="176"/>
      <c r="AY43" s="176"/>
      <c r="AZ43" s="176"/>
      <c r="BA43" s="176"/>
      <c r="BB43" s="176"/>
      <c r="BC43" s="176"/>
      <c r="BD43" s="176"/>
      <c r="BE43" s="176"/>
      <c r="BF43" s="176"/>
    </row>
    <row r="44" spans="1:58" ht="16.5" customHeight="1" x14ac:dyDescent="0.25">
      <c r="A44" s="294">
        <v>4</v>
      </c>
      <c r="B44" s="295">
        <f>E44</f>
        <v>45.4</v>
      </c>
      <c r="C44" s="295" t="e">
        <f t="shared" si="10"/>
        <v>#DIV/0!</v>
      </c>
      <c r="D44" s="296">
        <v>51.5</v>
      </c>
      <c r="E44" s="297">
        <v>45.4</v>
      </c>
      <c r="F44" s="297"/>
      <c r="G44" s="297"/>
      <c r="H44" s="297"/>
      <c r="I44" s="296"/>
      <c r="J44" s="297"/>
      <c r="K44" s="297"/>
      <c r="L44" s="297"/>
      <c r="M44" s="297"/>
      <c r="N44" s="176"/>
      <c r="O44" s="176"/>
      <c r="P44" s="176"/>
      <c r="Q44" s="176"/>
      <c r="R44" s="176"/>
      <c r="S44" s="176"/>
      <c r="T44" s="176"/>
      <c r="U44" s="199"/>
      <c r="V44" s="199"/>
      <c r="W44" s="199"/>
      <c r="X44" s="199"/>
      <c r="Y44" s="199"/>
      <c r="Z44" s="199"/>
      <c r="AA44" s="199"/>
      <c r="AB44" s="199"/>
      <c r="AC44" s="199"/>
      <c r="AD44" s="199"/>
      <c r="AE44" s="199"/>
      <c r="AF44" s="199"/>
      <c r="AG44" s="199"/>
      <c r="AH44" s="199"/>
      <c r="AI44" s="199"/>
      <c r="AJ44" s="199"/>
      <c r="AK44" s="199"/>
      <c r="AL44" s="199"/>
      <c r="AM44" s="176"/>
      <c r="AN44" s="176"/>
      <c r="AO44" s="176"/>
      <c r="AP44" s="176"/>
      <c r="AQ44" s="176"/>
      <c r="AR44" s="176"/>
      <c r="AS44" s="176"/>
      <c r="AT44" s="176"/>
      <c r="AU44" s="176"/>
      <c r="AV44" s="176"/>
      <c r="AW44" s="176"/>
      <c r="AX44" s="176"/>
      <c r="AY44" s="176"/>
      <c r="AZ44" s="176"/>
      <c r="BA44" s="176"/>
      <c r="BB44" s="176"/>
      <c r="BC44" s="176"/>
      <c r="BD44" s="176"/>
      <c r="BE44" s="176"/>
      <c r="BF44" s="176"/>
    </row>
    <row r="45" spans="1:58" ht="18.75" customHeight="1" x14ac:dyDescent="0.25">
      <c r="A45" s="294">
        <v>5</v>
      </c>
      <c r="B45" s="295">
        <f>F45</f>
        <v>38.1</v>
      </c>
      <c r="C45" s="295" t="e">
        <f t="shared" si="10"/>
        <v>#DIV/0!</v>
      </c>
      <c r="D45" s="296">
        <v>29.7</v>
      </c>
      <c r="E45" s="297">
        <v>30</v>
      </c>
      <c r="F45" s="297">
        <v>38.1</v>
      </c>
      <c r="G45" s="297"/>
      <c r="H45" s="297"/>
      <c r="I45" s="296"/>
      <c r="J45" s="297"/>
      <c r="K45" s="297"/>
      <c r="L45" s="297"/>
      <c r="M45" s="297"/>
      <c r="N45" s="176"/>
      <c r="O45" s="176"/>
      <c r="P45" s="176"/>
      <c r="Q45" s="176"/>
      <c r="R45" s="176"/>
      <c r="S45" s="176"/>
      <c r="T45" s="176"/>
      <c r="U45" s="199"/>
      <c r="V45" s="199"/>
      <c r="W45" s="199"/>
      <c r="X45" s="199"/>
      <c r="Y45" s="199"/>
      <c r="Z45" s="199"/>
      <c r="AA45" s="199"/>
      <c r="AB45" s="199"/>
      <c r="AC45" s="199"/>
      <c r="AD45" s="199"/>
      <c r="AE45" s="199"/>
      <c r="AF45" s="199"/>
      <c r="AG45" s="199"/>
      <c r="AH45" s="199"/>
      <c r="AI45" s="199"/>
      <c r="AJ45" s="199"/>
      <c r="AK45" s="199"/>
      <c r="AL45" s="293"/>
      <c r="AM45" s="176"/>
      <c r="AN45" s="176"/>
      <c r="AO45" s="176"/>
      <c r="AP45" s="176"/>
      <c r="AQ45" s="176"/>
      <c r="AR45" s="176"/>
      <c r="AS45" s="176"/>
      <c r="AT45" s="176"/>
      <c r="AU45" s="176"/>
      <c r="AV45" s="176"/>
      <c r="AW45" s="176"/>
      <c r="AX45" s="176"/>
      <c r="AY45" s="176"/>
      <c r="AZ45" s="176"/>
      <c r="BA45" s="176"/>
      <c r="BB45" s="176"/>
      <c r="BC45" s="176"/>
      <c r="BD45" s="176"/>
      <c r="BE45" s="176"/>
      <c r="BF45" s="176"/>
    </row>
    <row r="46" spans="1:58" ht="16.350000000000001" customHeight="1" x14ac:dyDescent="0.25">
      <c r="A46" s="294">
        <v>6</v>
      </c>
      <c r="B46" s="295">
        <f t="shared" ref="B46" si="11">AVERAGE(D46:H46)</f>
        <v>39.700000000000003</v>
      </c>
      <c r="C46" s="295"/>
      <c r="D46" s="296">
        <v>39.700000000000003</v>
      </c>
      <c r="E46" s="297"/>
      <c r="F46" s="297"/>
      <c r="G46" s="297"/>
      <c r="H46" s="297"/>
      <c r="I46" s="296"/>
      <c r="J46" s="297"/>
      <c r="K46" s="297"/>
      <c r="L46" s="297"/>
      <c r="M46" s="297"/>
      <c r="N46" s="176"/>
      <c r="O46" s="176"/>
      <c r="P46" s="176"/>
      <c r="Q46" s="176"/>
      <c r="R46" s="176"/>
      <c r="S46" s="176"/>
      <c r="T46" s="176"/>
      <c r="U46" s="199"/>
      <c r="V46" s="199"/>
      <c r="W46" s="199"/>
      <c r="X46" s="199"/>
      <c r="Y46" s="199"/>
      <c r="Z46" s="199"/>
      <c r="AA46" s="199"/>
      <c r="AB46" s="199"/>
      <c r="AC46" s="199"/>
      <c r="AD46" s="199"/>
      <c r="AE46" s="199"/>
      <c r="AF46" s="199"/>
      <c r="AG46" s="199"/>
      <c r="AH46" s="199"/>
      <c r="AI46" s="199"/>
      <c r="AJ46" s="199"/>
      <c r="AK46" s="199"/>
      <c r="AL46" s="199"/>
      <c r="AM46" s="176"/>
      <c r="AN46" s="176"/>
      <c r="AO46" s="176"/>
      <c r="AP46" s="176"/>
      <c r="AQ46" s="176"/>
      <c r="AR46" s="176"/>
      <c r="AS46" s="176"/>
      <c r="AT46" s="176"/>
      <c r="AU46" s="176"/>
      <c r="AV46" s="176"/>
      <c r="AW46" s="176"/>
      <c r="AX46" s="176"/>
      <c r="AY46" s="176"/>
      <c r="AZ46" s="176"/>
      <c r="BA46" s="176"/>
      <c r="BB46" s="176"/>
      <c r="BC46" s="176"/>
      <c r="BD46" s="176"/>
      <c r="BE46" s="176"/>
      <c r="BF46" s="176"/>
    </row>
    <row r="47" spans="1:58" ht="16.350000000000001" customHeight="1" x14ac:dyDescent="0.25">
      <c r="A47" s="294"/>
      <c r="B47" s="295"/>
      <c r="C47" s="295"/>
      <c r="D47" s="297"/>
      <c r="E47" s="297"/>
      <c r="F47" s="297"/>
      <c r="G47" s="297"/>
      <c r="H47" s="297"/>
      <c r="I47" s="297"/>
      <c r="J47" s="297"/>
      <c r="K47" s="297"/>
      <c r="L47" s="297"/>
      <c r="M47" s="297"/>
      <c r="N47" s="176"/>
      <c r="O47" s="176"/>
      <c r="P47" s="176"/>
      <c r="Q47" s="176"/>
      <c r="R47" s="176"/>
      <c r="S47" s="176"/>
      <c r="T47" s="176"/>
      <c r="U47" s="199"/>
      <c r="V47" s="199"/>
      <c r="W47" s="199"/>
      <c r="X47" s="199"/>
      <c r="Y47" s="199"/>
      <c r="Z47" s="199"/>
      <c r="AA47" s="199"/>
      <c r="AB47" s="199"/>
      <c r="AC47" s="199"/>
      <c r="AD47" s="199"/>
      <c r="AE47" s="199"/>
      <c r="AF47" s="199"/>
      <c r="AG47" s="199"/>
      <c r="AH47" s="199"/>
      <c r="AI47" s="199"/>
      <c r="AJ47" s="199"/>
      <c r="AK47" s="199"/>
      <c r="AL47" s="199"/>
      <c r="AM47" s="176"/>
      <c r="AN47" s="176"/>
      <c r="AO47" s="176"/>
      <c r="AP47" s="176"/>
      <c r="AQ47" s="176"/>
      <c r="AR47" s="176"/>
      <c r="AS47" s="176"/>
      <c r="AT47" s="176"/>
      <c r="AU47" s="176"/>
      <c r="AV47" s="176"/>
      <c r="AW47" s="176"/>
      <c r="AX47" s="176"/>
      <c r="AY47" s="176"/>
      <c r="AZ47" s="176"/>
      <c r="BA47" s="176"/>
      <c r="BB47" s="176"/>
      <c r="BC47" s="176"/>
      <c r="BD47" s="176"/>
      <c r="BE47" s="176"/>
      <c r="BF47" s="176"/>
    </row>
    <row r="48" spans="1:58" ht="15.75" customHeight="1" x14ac:dyDescent="0.25">
      <c r="A48" s="294"/>
      <c r="B48" s="295"/>
      <c r="C48" s="295"/>
      <c r="D48" s="297"/>
      <c r="E48" s="297"/>
      <c r="F48" s="297"/>
      <c r="G48" s="297"/>
      <c r="H48" s="297"/>
      <c r="I48" s="297"/>
      <c r="J48" s="297"/>
      <c r="K48" s="297"/>
      <c r="L48" s="297"/>
      <c r="M48" s="297"/>
      <c r="N48" s="176"/>
      <c r="O48" s="176"/>
      <c r="P48" s="176"/>
      <c r="Q48" s="176"/>
      <c r="R48" s="176"/>
      <c r="S48" s="176"/>
      <c r="T48" s="176"/>
      <c r="U48" s="199"/>
      <c r="V48" s="199"/>
      <c r="W48" s="199"/>
      <c r="X48" s="199"/>
      <c r="Y48" s="199"/>
      <c r="Z48" s="199"/>
      <c r="AA48" s="199"/>
      <c r="AB48" s="199"/>
      <c r="AC48" s="199"/>
      <c r="AD48" s="199"/>
      <c r="AE48" s="199"/>
      <c r="AF48" s="199"/>
      <c r="AG48" s="199"/>
      <c r="AH48" s="199"/>
      <c r="AI48" s="199"/>
      <c r="AJ48" s="199"/>
      <c r="AK48" s="199"/>
      <c r="AL48" s="293"/>
      <c r="AM48" s="176"/>
      <c r="AN48" s="176"/>
      <c r="AO48" s="176"/>
      <c r="AP48" s="176"/>
      <c r="AQ48" s="176"/>
      <c r="AR48" s="176"/>
      <c r="AS48" s="176"/>
      <c r="AT48" s="176"/>
      <c r="AU48" s="176"/>
      <c r="AV48" s="176"/>
      <c r="AW48" s="176"/>
      <c r="AX48" s="176"/>
      <c r="AY48" s="176"/>
      <c r="AZ48" s="176"/>
      <c r="BA48" s="176"/>
      <c r="BB48" s="176"/>
      <c r="BC48" s="176"/>
      <c r="BD48" s="176"/>
      <c r="BE48" s="176"/>
      <c r="BF48" s="176"/>
    </row>
    <row r="49" spans="1:58" ht="21" customHeight="1" x14ac:dyDescent="0.25">
      <c r="A49" s="512" t="s">
        <v>82</v>
      </c>
      <c r="B49" s="512"/>
      <c r="C49" s="512"/>
      <c r="D49" s="512"/>
      <c r="E49" s="512"/>
      <c r="F49" s="512"/>
      <c r="G49" s="512"/>
      <c r="H49" s="512"/>
      <c r="I49" s="512"/>
      <c r="J49" s="512"/>
      <c r="K49" s="512"/>
      <c r="L49" s="512"/>
      <c r="M49" s="512"/>
      <c r="N49" s="512"/>
      <c r="O49" s="512"/>
      <c r="P49" s="512"/>
      <c r="Q49" s="176"/>
      <c r="R49" s="176"/>
      <c r="S49" s="176"/>
      <c r="T49" s="176"/>
      <c r="U49" s="199"/>
      <c r="V49" s="199"/>
      <c r="W49" s="199"/>
      <c r="X49" s="199"/>
      <c r="Y49" s="199"/>
      <c r="Z49" s="199"/>
      <c r="AA49" s="199"/>
      <c r="AB49" s="199"/>
      <c r="AC49" s="199"/>
      <c r="AD49" s="199"/>
      <c r="AE49" s="199"/>
      <c r="AF49" s="199"/>
      <c r="AG49" s="199"/>
      <c r="AH49" s="199"/>
      <c r="AI49" s="199"/>
      <c r="AJ49" s="199"/>
      <c r="AK49" s="199"/>
      <c r="AL49" s="199"/>
      <c r="AM49" s="176"/>
      <c r="AN49" s="176"/>
      <c r="AO49" s="176"/>
      <c r="AP49" s="176"/>
      <c r="AQ49" s="176"/>
      <c r="AR49" s="176"/>
      <c r="AS49" s="176"/>
      <c r="AT49" s="176"/>
      <c r="AU49" s="176"/>
      <c r="AV49" s="176"/>
      <c r="AW49" s="176"/>
      <c r="AX49" s="176"/>
      <c r="AY49" s="176"/>
      <c r="AZ49" s="176"/>
      <c r="BA49" s="176"/>
      <c r="BB49" s="176"/>
      <c r="BC49" s="176"/>
      <c r="BD49" s="176"/>
      <c r="BE49" s="176"/>
      <c r="BF49" s="176"/>
    </row>
    <row r="50" spans="1:58" ht="22.35" customHeight="1" x14ac:dyDescent="0.25">
      <c r="A50" s="298" t="s">
        <v>84</v>
      </c>
      <c r="B50" s="273" t="s">
        <v>85</v>
      </c>
      <c r="C50" s="273" t="s">
        <v>86</v>
      </c>
      <c r="D50" s="273" t="s">
        <v>87</v>
      </c>
      <c r="E50" s="273" t="s">
        <v>88</v>
      </c>
      <c r="F50" s="273" t="s">
        <v>89</v>
      </c>
      <c r="G50" s="273" t="s">
        <v>90</v>
      </c>
      <c r="H50" s="273" t="s">
        <v>91</v>
      </c>
      <c r="I50" s="273" t="s">
        <v>92</v>
      </c>
      <c r="J50" s="273" t="s">
        <v>93</v>
      </c>
      <c r="K50" s="273" t="s">
        <v>94</v>
      </c>
      <c r="L50" s="273" t="s">
        <v>95</v>
      </c>
      <c r="M50" s="273" t="s">
        <v>96</v>
      </c>
      <c r="N50" s="273" t="s">
        <v>97</v>
      </c>
      <c r="O50" s="273" t="s">
        <v>98</v>
      </c>
      <c r="P50" s="299" t="s">
        <v>99</v>
      </c>
      <c r="Q50" s="176"/>
      <c r="R50" s="176"/>
      <c r="S50" s="176"/>
      <c r="T50" s="176"/>
      <c r="U50" s="199"/>
      <c r="V50" s="199"/>
      <c r="W50" s="199"/>
      <c r="X50" s="199"/>
      <c r="Y50" s="199"/>
      <c r="Z50" s="199"/>
      <c r="AA50" s="199"/>
      <c r="AB50" s="199"/>
      <c r="AC50" s="199"/>
      <c r="AD50" s="199"/>
      <c r="AE50" s="199"/>
      <c r="AF50" s="199"/>
      <c r="AG50" s="199"/>
      <c r="AH50" s="199"/>
      <c r="AI50" s="199"/>
      <c r="AJ50" s="199"/>
      <c r="AK50" s="199"/>
      <c r="AL50" s="293"/>
      <c r="AM50" s="176"/>
      <c r="AN50" s="176"/>
      <c r="AO50" s="176"/>
      <c r="AP50" s="176"/>
      <c r="AQ50" s="176"/>
      <c r="AR50" s="176"/>
      <c r="AS50" s="176"/>
      <c r="AT50" s="176"/>
      <c r="AU50" s="176"/>
      <c r="AV50" s="176"/>
      <c r="AW50" s="176"/>
      <c r="AX50" s="176"/>
      <c r="AY50" s="176"/>
      <c r="AZ50" s="176"/>
      <c r="BA50" s="176"/>
      <c r="BB50" s="176"/>
      <c r="BC50" s="176"/>
      <c r="BD50" s="176"/>
      <c r="BE50" s="176"/>
      <c r="BF50" s="176"/>
    </row>
    <row r="51" spans="1:58" x14ac:dyDescent="0.25">
      <c r="A51" s="428">
        <v>1</v>
      </c>
      <c r="B51" s="429">
        <v>1.1114999999999999</v>
      </c>
      <c r="C51" s="429">
        <v>1.1165</v>
      </c>
      <c r="D51" s="430">
        <v>10</v>
      </c>
      <c r="E51" s="431">
        <v>10</v>
      </c>
      <c r="F51" s="429">
        <v>1.1192</v>
      </c>
      <c r="G51" s="429">
        <v>1.1247</v>
      </c>
      <c r="H51" s="430">
        <v>1</v>
      </c>
      <c r="I51" s="304">
        <f t="shared" ref="I51:I55" si="12">(F51-B51)*1000*H51/D51</f>
        <v>0.77000000000000401</v>
      </c>
      <c r="J51" s="304">
        <f t="shared" ref="J51:J55" si="13">(G51-C51)*1000*H51/E51</f>
        <v>0.81999999999999851</v>
      </c>
      <c r="K51" s="305">
        <f t="shared" ref="K51:K55" si="14">AVERAGE(I51:J51)</f>
        <v>0.79500000000000126</v>
      </c>
      <c r="L51" s="296"/>
      <c r="M51" s="306"/>
      <c r="N51" s="307">
        <f t="shared" ref="N51:N57" si="15">(F51-L51)/E51*1000000</f>
        <v>111919.99999999999</v>
      </c>
      <c r="O51" s="308">
        <f t="shared" ref="O51:O57" si="16">(G51-M51)/E51*1000000</f>
        <v>112470</v>
      </c>
      <c r="P51" s="309">
        <f>AVERAGE(O51)</f>
        <v>112470</v>
      </c>
      <c r="Q51" s="176"/>
      <c r="R51" s="176"/>
      <c r="S51" s="176"/>
      <c r="T51" s="176"/>
      <c r="U51" s="199"/>
      <c r="V51" s="199"/>
      <c r="W51" s="199"/>
      <c r="X51" s="199"/>
      <c r="Y51" s="199"/>
      <c r="Z51" s="199"/>
      <c r="AA51" s="199"/>
      <c r="AB51" s="199"/>
      <c r="AC51" s="199"/>
      <c r="AD51" s="199"/>
      <c r="AE51" s="199"/>
      <c r="AF51" s="199"/>
      <c r="AG51" s="199"/>
      <c r="AH51" s="199"/>
      <c r="AI51" s="199"/>
      <c r="AJ51" s="199"/>
      <c r="AK51" s="199"/>
      <c r="AL51" s="199"/>
      <c r="AM51" s="176"/>
      <c r="AN51" s="176"/>
      <c r="AO51" s="176"/>
      <c r="AP51" s="176"/>
      <c r="AQ51" s="176"/>
      <c r="AR51" s="176"/>
      <c r="AS51" s="176"/>
      <c r="AT51" s="176"/>
      <c r="AU51" s="176"/>
      <c r="AV51" s="176"/>
      <c r="AW51" s="176"/>
      <c r="AX51" s="176"/>
      <c r="AY51" s="176"/>
      <c r="AZ51" s="176"/>
      <c r="BA51" s="176"/>
      <c r="BB51" s="176"/>
      <c r="BC51" s="176"/>
      <c r="BD51" s="176"/>
      <c r="BE51" s="176"/>
      <c r="BF51" s="176"/>
    </row>
    <row r="52" spans="1:58" x14ac:dyDescent="0.25">
      <c r="A52" s="428">
        <v>3</v>
      </c>
      <c r="B52" s="429">
        <v>1.1085</v>
      </c>
      <c r="C52" s="429">
        <v>1.1193</v>
      </c>
      <c r="D52" s="430">
        <v>10</v>
      </c>
      <c r="E52" s="431">
        <v>10</v>
      </c>
      <c r="F52" s="429">
        <v>1.1152</v>
      </c>
      <c r="G52" s="429">
        <v>1.1261000000000001</v>
      </c>
      <c r="H52" s="430">
        <v>1</v>
      </c>
      <c r="I52" s="304">
        <f>(F52-B52)*1000*H52/D52</f>
        <v>0.66999999999999282</v>
      </c>
      <c r="J52" s="304">
        <f>(G52-C52)*1000*H52/E52</f>
        <v>0.68000000000001393</v>
      </c>
      <c r="K52" s="305">
        <f>AVERAGE(I52:J52)</f>
        <v>0.67500000000000338</v>
      </c>
      <c r="L52" s="306"/>
      <c r="M52" s="306"/>
      <c r="N52" s="307">
        <f>(F52-L52)/E52*1000000</f>
        <v>111520</v>
      </c>
      <c r="O52" s="308">
        <f>(G52-M52)/E52*1000000</f>
        <v>112610.00000000001</v>
      </c>
      <c r="P52" s="309">
        <f>AVERAGE(N52:O52)</f>
        <v>112065</v>
      </c>
      <c r="Q52" s="176"/>
      <c r="R52" s="176"/>
      <c r="S52" s="176"/>
      <c r="T52" s="176"/>
      <c r="U52" s="199"/>
      <c r="V52" s="199"/>
      <c r="W52" s="199"/>
      <c r="X52" s="199"/>
      <c r="Y52" s="199"/>
      <c r="Z52" s="199"/>
      <c r="AA52" s="199"/>
      <c r="AB52" s="199"/>
      <c r="AC52" s="199"/>
      <c r="AD52" s="199"/>
      <c r="AE52" s="199"/>
      <c r="AF52" s="199"/>
      <c r="AG52" s="199"/>
      <c r="AH52" s="199"/>
      <c r="AI52" s="199"/>
      <c r="AJ52" s="199"/>
      <c r="AK52" s="199"/>
      <c r="AL52" s="293"/>
      <c r="AM52" s="176"/>
      <c r="AN52" s="176"/>
      <c r="AO52" s="176"/>
      <c r="AP52" s="176"/>
      <c r="AQ52" s="176"/>
      <c r="AR52" s="176"/>
      <c r="AS52" s="176"/>
      <c r="AT52" s="176"/>
      <c r="AU52" s="176"/>
      <c r="AV52" s="176"/>
      <c r="AW52" s="176"/>
      <c r="AX52" s="176"/>
      <c r="AY52" s="176"/>
      <c r="AZ52" s="176"/>
      <c r="BA52" s="176"/>
      <c r="BB52" s="176"/>
      <c r="BC52" s="176"/>
      <c r="BD52" s="176"/>
      <c r="BE52" s="176"/>
      <c r="BF52" s="176"/>
    </row>
    <row r="53" spans="1:58" x14ac:dyDescent="0.25">
      <c r="A53" s="428">
        <v>2</v>
      </c>
      <c r="B53" s="429">
        <v>1.1208</v>
      </c>
      <c r="C53" s="429">
        <v>1.1095999999999999</v>
      </c>
      <c r="D53" s="430">
        <v>10</v>
      </c>
      <c r="E53" s="431">
        <v>10</v>
      </c>
      <c r="F53" s="429">
        <v>1.1272</v>
      </c>
      <c r="G53" s="429">
        <v>1.1160000000000001</v>
      </c>
      <c r="H53" s="430">
        <v>1</v>
      </c>
      <c r="I53" s="304">
        <f>(F53-B53)*1000*H53/D53</f>
        <v>0.63999999999999613</v>
      </c>
      <c r="J53" s="304">
        <f>(G53-C53)*1000*H53/E53</f>
        <v>0.64000000000001833</v>
      </c>
      <c r="K53" s="305">
        <f>AVERAGE(I53:J53)</f>
        <v>0.64000000000000723</v>
      </c>
      <c r="L53" s="306"/>
      <c r="M53" s="306"/>
      <c r="N53" s="307">
        <f>(F53-L53)/E53*1000000</f>
        <v>112720</v>
      </c>
      <c r="O53" s="308">
        <f>(G53-M53)/E53*1000000</f>
        <v>111600</v>
      </c>
      <c r="P53" s="309">
        <f>AVERAGE(O53)</f>
        <v>111600</v>
      </c>
      <c r="Q53" s="176"/>
      <c r="R53" s="176"/>
      <c r="S53" s="176"/>
      <c r="T53" s="176"/>
      <c r="U53" s="199"/>
      <c r="V53" s="199"/>
      <c r="W53" s="199"/>
      <c r="X53" s="199"/>
      <c r="Y53" s="199"/>
      <c r="Z53" s="199"/>
      <c r="AA53" s="199"/>
      <c r="AB53" s="199"/>
      <c r="AC53" s="199"/>
      <c r="AD53" s="199"/>
      <c r="AE53" s="199"/>
      <c r="AF53" s="199"/>
      <c r="AG53" s="199"/>
      <c r="AH53" s="199"/>
      <c r="AI53" s="199"/>
      <c r="AJ53" s="199"/>
      <c r="AK53" s="199"/>
      <c r="AL53" s="199"/>
      <c r="AM53" s="176"/>
      <c r="AN53" s="176"/>
      <c r="AO53" s="176"/>
      <c r="AP53" s="176"/>
      <c r="AQ53" s="176"/>
      <c r="AR53" s="176"/>
      <c r="AS53" s="176"/>
      <c r="AT53" s="176"/>
      <c r="AU53" s="176"/>
      <c r="AV53" s="176"/>
      <c r="AW53" s="176"/>
      <c r="AX53" s="176"/>
      <c r="AY53" s="176"/>
      <c r="AZ53" s="176"/>
      <c r="BA53" s="176"/>
      <c r="BB53" s="176"/>
      <c r="BC53" s="176"/>
      <c r="BD53" s="176"/>
      <c r="BE53" s="176"/>
      <c r="BF53" s="176"/>
    </row>
    <row r="54" spans="1:58" x14ac:dyDescent="0.25">
      <c r="A54" s="428">
        <v>4</v>
      </c>
      <c r="B54" s="429">
        <v>1.1135999999999999</v>
      </c>
      <c r="C54" s="429">
        <v>1.1158999999999999</v>
      </c>
      <c r="D54" s="430">
        <v>10</v>
      </c>
      <c r="E54" s="431">
        <v>10</v>
      </c>
      <c r="F54" s="429">
        <v>1.1189</v>
      </c>
      <c r="G54" s="429">
        <v>1.1215999999999999</v>
      </c>
      <c r="H54" s="430">
        <v>1</v>
      </c>
      <c r="I54" s="304">
        <f t="shared" si="12"/>
        <v>0.53000000000000824</v>
      </c>
      <c r="J54" s="304">
        <f t="shared" si="13"/>
        <v>0.57000000000000384</v>
      </c>
      <c r="K54" s="305">
        <f t="shared" si="14"/>
        <v>0.55000000000000604</v>
      </c>
      <c r="L54" s="306"/>
      <c r="M54" s="306"/>
      <c r="N54" s="307">
        <f t="shared" si="15"/>
        <v>111890</v>
      </c>
      <c r="O54" s="308">
        <f t="shared" si="16"/>
        <v>112160</v>
      </c>
      <c r="P54" s="309">
        <f>AVERAGE(N54:O54)</f>
        <v>112025</v>
      </c>
      <c r="Q54" s="176"/>
      <c r="R54" s="176"/>
      <c r="S54" s="176"/>
      <c r="T54" s="176"/>
      <c r="U54" s="199"/>
      <c r="V54" s="199"/>
      <c r="W54" s="199"/>
      <c r="X54" s="199"/>
      <c r="Y54" s="199"/>
      <c r="Z54" s="199"/>
      <c r="AA54" s="199"/>
      <c r="AB54" s="199"/>
      <c r="AC54" s="199"/>
      <c r="AD54" s="199"/>
      <c r="AE54" s="199"/>
      <c r="AF54" s="199"/>
      <c r="AG54" s="199"/>
      <c r="AH54" s="199"/>
      <c r="AI54" s="199"/>
      <c r="AJ54" s="199"/>
      <c r="AK54" s="199"/>
      <c r="AL54" s="199"/>
      <c r="AM54" s="176"/>
      <c r="AN54" s="176"/>
      <c r="AO54" s="176"/>
      <c r="AP54" s="176"/>
      <c r="AQ54" s="176"/>
      <c r="AR54" s="176"/>
      <c r="AS54" s="176"/>
      <c r="AT54" s="176"/>
      <c r="AU54" s="176"/>
      <c r="AV54" s="176"/>
      <c r="AW54" s="176"/>
      <c r="AX54" s="176"/>
      <c r="AY54" s="176"/>
      <c r="AZ54" s="176"/>
      <c r="BA54" s="176"/>
      <c r="BB54" s="176"/>
      <c r="BC54" s="176"/>
      <c r="BD54" s="176"/>
      <c r="BE54" s="176"/>
      <c r="BF54" s="176"/>
    </row>
    <row r="55" spans="1:58" x14ac:dyDescent="0.25">
      <c r="A55" s="428">
        <v>5</v>
      </c>
      <c r="B55" s="429">
        <v>1.1113999999999999</v>
      </c>
      <c r="C55" s="429">
        <v>1.1192</v>
      </c>
      <c r="D55" s="430">
        <v>10</v>
      </c>
      <c r="E55" s="431">
        <v>10</v>
      </c>
      <c r="F55" s="429">
        <v>1.1153999999999999</v>
      </c>
      <c r="G55" s="429">
        <v>1.1240000000000001</v>
      </c>
      <c r="H55" s="430">
        <v>1</v>
      </c>
      <c r="I55" s="304">
        <f t="shared" si="12"/>
        <v>0.40000000000000036</v>
      </c>
      <c r="J55" s="304">
        <f t="shared" si="13"/>
        <v>0.48000000000001375</v>
      </c>
      <c r="K55" s="305">
        <f t="shared" si="14"/>
        <v>0.44000000000000705</v>
      </c>
      <c r="L55" s="306"/>
      <c r="M55" s="306"/>
      <c r="N55" s="307">
        <f t="shared" si="15"/>
        <v>111540</v>
      </c>
      <c r="O55" s="308">
        <f t="shared" si="16"/>
        <v>112400.00000000001</v>
      </c>
      <c r="P55" s="309">
        <f>AVERAGE(O55)</f>
        <v>112400.00000000001</v>
      </c>
      <c r="Q55" s="176"/>
      <c r="R55" s="176"/>
      <c r="S55" s="176"/>
      <c r="T55" s="176"/>
      <c r="U55" s="199"/>
      <c r="V55" s="199"/>
      <c r="W55" s="199"/>
      <c r="X55" s="199"/>
      <c r="Y55" s="199"/>
      <c r="Z55" s="199"/>
      <c r="AA55" s="199"/>
      <c r="AB55" s="199"/>
      <c r="AC55" s="199"/>
      <c r="AD55" s="199"/>
      <c r="AE55" s="199"/>
      <c r="AF55" s="199"/>
      <c r="AG55" s="199"/>
      <c r="AH55" s="199"/>
      <c r="AI55" s="199"/>
      <c r="AJ55" s="199"/>
      <c r="AK55" s="199"/>
      <c r="AL55" s="293"/>
      <c r="AM55" s="176"/>
      <c r="AN55" s="176"/>
      <c r="AO55" s="176"/>
      <c r="AP55" s="176"/>
      <c r="AQ55" s="176"/>
      <c r="AR55" s="176"/>
      <c r="AS55" s="176"/>
      <c r="AT55" s="176"/>
      <c r="AU55" s="176"/>
      <c r="AV55" s="176"/>
      <c r="AW55" s="176"/>
      <c r="AX55" s="176"/>
      <c r="AY55" s="176"/>
      <c r="AZ55" s="176"/>
      <c r="BA55" s="176"/>
      <c r="BB55" s="176"/>
      <c r="BC55" s="176"/>
      <c r="BD55" s="176"/>
      <c r="BE55" s="176"/>
      <c r="BF55" s="176"/>
    </row>
    <row r="56" spans="1:58" x14ac:dyDescent="0.25">
      <c r="A56" s="428">
        <v>6</v>
      </c>
      <c r="B56" s="444">
        <v>1.1102000000000001</v>
      </c>
      <c r="C56" s="429">
        <v>1.1106</v>
      </c>
      <c r="D56" s="430">
        <v>10</v>
      </c>
      <c r="E56" s="431">
        <v>10</v>
      </c>
      <c r="F56" s="429">
        <v>1.1146</v>
      </c>
      <c r="G56" s="429">
        <v>1.115</v>
      </c>
      <c r="H56" s="430">
        <v>1</v>
      </c>
      <c r="I56" s="304">
        <f>(F56-B56)*1000*H56/D56</f>
        <v>0.43999999999999595</v>
      </c>
      <c r="J56" s="304">
        <f>(G56-C56)*1000*H56/E56</f>
        <v>0.43999999999999595</v>
      </c>
      <c r="K56" s="305">
        <f>AVERAGE(I56:J56)</f>
        <v>0.43999999999999595</v>
      </c>
      <c r="L56" s="296"/>
      <c r="M56" s="306"/>
      <c r="N56" s="307">
        <f t="shared" si="15"/>
        <v>111460</v>
      </c>
      <c r="O56" s="308">
        <f t="shared" si="16"/>
        <v>111500</v>
      </c>
      <c r="P56" s="309">
        <f>AVERAGE(O56)</f>
        <v>111500</v>
      </c>
      <c r="Q56" s="176"/>
      <c r="R56" s="176"/>
      <c r="S56" s="176"/>
      <c r="T56" s="176"/>
      <c r="U56" s="199"/>
      <c r="V56" s="199"/>
      <c r="W56" s="199"/>
      <c r="X56" s="199"/>
      <c r="Y56" s="199"/>
      <c r="Z56" s="199"/>
      <c r="AA56" s="199"/>
      <c r="AB56" s="199"/>
      <c r="AC56" s="199"/>
      <c r="AD56" s="199"/>
      <c r="AE56" s="199"/>
      <c r="AF56" s="199"/>
      <c r="AG56" s="199"/>
      <c r="AH56" s="199"/>
      <c r="AI56" s="199"/>
      <c r="AJ56" s="199"/>
      <c r="AK56" s="199"/>
      <c r="AL56" s="199"/>
      <c r="AM56" s="176"/>
      <c r="AN56" s="176"/>
      <c r="AO56" s="176"/>
      <c r="AP56" s="176"/>
      <c r="AQ56" s="176"/>
      <c r="AR56" s="176"/>
      <c r="AS56" s="176"/>
      <c r="AT56" s="176"/>
      <c r="AU56" s="176"/>
      <c r="AV56" s="176"/>
      <c r="AW56" s="176"/>
      <c r="AX56" s="176"/>
      <c r="AY56" s="176"/>
      <c r="AZ56" s="176"/>
      <c r="BA56" s="176"/>
      <c r="BB56" s="176"/>
      <c r="BC56" s="176"/>
      <c r="BD56" s="176"/>
      <c r="BE56" s="176"/>
      <c r="BF56" s="176"/>
    </row>
    <row r="57" spans="1:58" ht="40.5" customHeight="1" thickBot="1" x14ac:dyDescent="0.3">
      <c r="A57" s="445" t="s">
        <v>104</v>
      </c>
      <c r="B57" s="429">
        <v>1.115</v>
      </c>
      <c r="C57" s="429">
        <v>1.1215999999999999</v>
      </c>
      <c r="D57" s="430">
        <v>10</v>
      </c>
      <c r="E57" s="431">
        <v>10</v>
      </c>
      <c r="F57" s="429">
        <v>1.1188</v>
      </c>
      <c r="G57" s="429">
        <v>1.1253</v>
      </c>
      <c r="H57" s="430">
        <v>1</v>
      </c>
      <c r="I57" s="304">
        <f t="shared" ref="I57" si="17">(F57-B57)*1000*H57/D57</f>
        <v>0.38000000000000256</v>
      </c>
      <c r="J57" s="304">
        <f t="shared" ref="J57" si="18">(G57-C57)*1000*H57/E57</f>
        <v>0.37000000000000366</v>
      </c>
      <c r="K57" s="305">
        <f t="shared" ref="K57" si="19">AVERAGE(I57:J57)</f>
        <v>0.37500000000000311</v>
      </c>
      <c r="L57" s="316"/>
      <c r="M57" s="316"/>
      <c r="N57" s="307">
        <f t="shared" si="15"/>
        <v>111880</v>
      </c>
      <c r="O57" s="308">
        <f t="shared" si="16"/>
        <v>112529.99999999999</v>
      </c>
      <c r="P57" s="309">
        <f>AVERAGE(O57)</f>
        <v>112529.99999999999</v>
      </c>
      <c r="Q57" s="176"/>
      <c r="R57" s="176"/>
      <c r="S57" s="176"/>
      <c r="T57" s="176"/>
      <c r="U57" s="199"/>
      <c r="V57" s="199"/>
      <c r="W57" s="199"/>
      <c r="X57" s="199"/>
      <c r="Y57" s="199"/>
      <c r="Z57" s="199"/>
      <c r="AA57" s="199"/>
      <c r="AB57" s="199"/>
      <c r="AC57" s="199"/>
      <c r="AD57" s="199"/>
      <c r="AE57" s="199"/>
      <c r="AF57" s="199"/>
      <c r="AG57" s="199"/>
      <c r="AH57" s="199"/>
      <c r="AI57" s="199"/>
      <c r="AJ57" s="199"/>
      <c r="AK57" s="199"/>
      <c r="AL57" s="199"/>
      <c r="AM57" s="176"/>
      <c r="AN57" s="176"/>
      <c r="AO57" s="176"/>
      <c r="AP57" s="176"/>
      <c r="AQ57" s="176"/>
      <c r="AR57" s="176"/>
      <c r="AS57" s="176"/>
      <c r="AT57" s="176"/>
      <c r="AU57" s="176"/>
      <c r="AV57" s="176"/>
      <c r="AW57" s="176"/>
      <c r="AX57" s="176"/>
      <c r="AY57" s="176"/>
      <c r="AZ57" s="176"/>
      <c r="BA57" s="176"/>
      <c r="BB57" s="176"/>
      <c r="BC57" s="176"/>
      <c r="BD57" s="176"/>
      <c r="BE57" s="176"/>
      <c r="BF57" s="176"/>
    </row>
    <row r="58" spans="1:58" ht="34.5" customHeight="1" x14ac:dyDescent="0.25">
      <c r="A58" s="176"/>
      <c r="B58" s="176"/>
      <c r="C58" s="176"/>
      <c r="D58" s="176"/>
      <c r="E58" s="176"/>
      <c r="F58" s="176"/>
      <c r="G58" s="176"/>
      <c r="H58" s="176"/>
      <c r="I58" s="176"/>
      <c r="J58" s="176"/>
      <c r="K58" s="176"/>
      <c r="L58" s="176"/>
      <c r="M58" s="176"/>
      <c r="N58" s="176"/>
      <c r="O58" s="176"/>
      <c r="P58" s="176"/>
      <c r="Q58" s="176"/>
      <c r="R58" s="176"/>
      <c r="S58" s="176"/>
      <c r="T58" s="176"/>
      <c r="U58" s="199"/>
      <c r="V58" s="199"/>
      <c r="W58" s="199"/>
      <c r="X58" s="199"/>
      <c r="Y58" s="199"/>
      <c r="Z58" s="199"/>
      <c r="AA58" s="199"/>
      <c r="AB58" s="199"/>
      <c r="AC58" s="199"/>
      <c r="AD58" s="199"/>
      <c r="AE58" s="199"/>
      <c r="AF58" s="199"/>
      <c r="AG58" s="199"/>
      <c r="AH58" s="199"/>
      <c r="AI58" s="199"/>
      <c r="AJ58" s="199"/>
      <c r="AK58" s="199"/>
      <c r="AL58" s="199"/>
      <c r="AM58" s="176"/>
      <c r="AN58" s="176"/>
      <c r="AO58" s="176"/>
      <c r="AP58" s="176"/>
      <c r="AQ58" s="176"/>
      <c r="AR58" s="176"/>
      <c r="AS58" s="176"/>
      <c r="AT58" s="176"/>
      <c r="AU58" s="176"/>
      <c r="AV58" s="176"/>
      <c r="AW58" s="176"/>
      <c r="AX58" s="176"/>
      <c r="AY58" s="176"/>
      <c r="AZ58" s="176"/>
      <c r="BA58" s="176"/>
      <c r="BB58" s="176"/>
      <c r="BC58" s="176"/>
      <c r="BD58" s="176"/>
      <c r="BE58" s="176"/>
      <c r="BF58" s="176"/>
    </row>
    <row r="59" spans="1:58" ht="16.5" thickBot="1" x14ac:dyDescent="0.3">
      <c r="A59" s="176"/>
      <c r="B59" s="176"/>
      <c r="C59" s="176"/>
      <c r="D59" s="176"/>
      <c r="E59" s="176"/>
      <c r="F59" s="176"/>
      <c r="G59" s="176"/>
      <c r="H59" s="176"/>
      <c r="I59" s="176"/>
      <c r="J59" s="176"/>
      <c r="K59" s="176"/>
      <c r="L59" s="176"/>
      <c r="M59" s="176"/>
      <c r="N59" s="176"/>
      <c r="O59" s="176"/>
      <c r="P59" s="176"/>
      <c r="Q59" s="176"/>
      <c r="R59" s="176"/>
      <c r="S59" s="176"/>
      <c r="T59" s="176"/>
      <c r="U59" s="199"/>
      <c r="V59" s="199"/>
      <c r="W59" s="199"/>
      <c r="X59" s="199"/>
      <c r="Y59" s="199"/>
      <c r="Z59" s="199"/>
      <c r="AA59" s="199"/>
      <c r="AB59" s="199"/>
      <c r="AC59" s="199"/>
      <c r="AD59" s="199"/>
      <c r="AE59" s="199"/>
      <c r="AF59" s="199"/>
      <c r="AG59" s="199"/>
      <c r="AH59" s="199"/>
      <c r="AI59" s="199"/>
      <c r="AJ59" s="199"/>
      <c r="AK59" s="199"/>
      <c r="AL59" s="199"/>
      <c r="AM59" s="176"/>
      <c r="AN59" s="176"/>
      <c r="AO59" s="176"/>
      <c r="AP59" s="176"/>
      <c r="AQ59" s="176"/>
      <c r="AR59" s="176"/>
      <c r="AS59" s="176"/>
      <c r="AT59" s="176"/>
      <c r="AU59" s="176"/>
      <c r="AV59" s="176"/>
      <c r="AW59" s="176"/>
      <c r="AX59" s="176"/>
      <c r="AY59" s="176"/>
      <c r="AZ59" s="176"/>
      <c r="BA59" s="176"/>
      <c r="BB59" s="176"/>
      <c r="BC59" s="176"/>
      <c r="BD59" s="176"/>
      <c r="BE59" s="176"/>
      <c r="BF59" s="176"/>
    </row>
    <row r="60" spans="1:58" x14ac:dyDescent="0.25">
      <c r="A60" s="515" t="s">
        <v>107</v>
      </c>
      <c r="B60" s="516"/>
      <c r="C60" s="516"/>
      <c r="D60" s="516"/>
      <c r="E60" s="516"/>
      <c r="F60" s="516"/>
      <c r="G60" s="516"/>
      <c r="H60" s="516"/>
      <c r="I60" s="516"/>
      <c r="J60" s="516"/>
      <c r="K60" s="516"/>
      <c r="L60" s="516"/>
      <c r="M60" s="516"/>
      <c r="N60" s="516"/>
      <c r="O60" s="517"/>
      <c r="P60" s="176"/>
      <c r="Q60" s="176"/>
      <c r="R60" s="176"/>
      <c r="S60" s="176"/>
      <c r="T60" s="176"/>
      <c r="U60" s="199"/>
      <c r="V60" s="199"/>
      <c r="W60" s="199"/>
      <c r="X60" s="199"/>
      <c r="Y60" s="199"/>
      <c r="Z60" s="199"/>
      <c r="AA60" s="199"/>
      <c r="AB60" s="199"/>
      <c r="AC60" s="199"/>
      <c r="AD60" s="199"/>
      <c r="AE60" s="199"/>
      <c r="AF60" s="199"/>
      <c r="AG60" s="199"/>
      <c r="AH60" s="199"/>
      <c r="AI60" s="199"/>
      <c r="AJ60" s="199"/>
      <c r="AK60" s="199"/>
      <c r="AL60" s="293"/>
      <c r="AM60" s="176"/>
      <c r="AN60" s="176"/>
      <c r="AO60" s="176"/>
      <c r="AP60" s="176"/>
      <c r="AQ60" s="176"/>
      <c r="AR60" s="176"/>
      <c r="AS60" s="176"/>
      <c r="AT60" s="176"/>
      <c r="AU60" s="176"/>
      <c r="AV60" s="176"/>
      <c r="AW60" s="176"/>
      <c r="AX60" s="176"/>
      <c r="AY60" s="176"/>
      <c r="AZ60" s="176"/>
      <c r="BA60" s="176"/>
      <c r="BB60" s="176"/>
      <c r="BC60" s="176"/>
      <c r="BD60" s="176"/>
      <c r="BE60" s="176"/>
      <c r="BF60" s="176"/>
    </row>
    <row r="61" spans="1:58" x14ac:dyDescent="0.25">
      <c r="A61" s="298" t="s">
        <v>84</v>
      </c>
      <c r="B61" s="273" t="s">
        <v>108</v>
      </c>
      <c r="C61" s="273" t="s">
        <v>109</v>
      </c>
      <c r="D61" s="273" t="s">
        <v>110</v>
      </c>
      <c r="E61" s="273" t="s">
        <v>111</v>
      </c>
      <c r="F61" s="273" t="s">
        <v>89</v>
      </c>
      <c r="G61" s="273" t="s">
        <v>90</v>
      </c>
      <c r="H61" s="273" t="s">
        <v>112</v>
      </c>
      <c r="I61" s="273" t="s">
        <v>113</v>
      </c>
      <c r="J61" s="273" t="s">
        <v>114</v>
      </c>
      <c r="K61" s="273" t="s">
        <v>95</v>
      </c>
      <c r="L61" s="273" t="s">
        <v>96</v>
      </c>
      <c r="M61" s="273" t="s">
        <v>115</v>
      </c>
      <c r="N61" s="273" t="s">
        <v>116</v>
      </c>
      <c r="O61" s="299" t="s">
        <v>117</v>
      </c>
      <c r="P61" s="176"/>
      <c r="Q61" s="176"/>
      <c r="R61" s="176"/>
      <c r="S61" s="176"/>
      <c r="T61" s="176"/>
      <c r="U61" s="199"/>
      <c r="V61" s="199"/>
      <c r="W61" s="199"/>
      <c r="X61" s="199"/>
      <c r="Y61" s="199"/>
      <c r="Z61" s="199"/>
      <c r="AA61" s="199"/>
      <c r="AB61" s="199"/>
      <c r="AC61" s="199"/>
      <c r="AD61" s="199"/>
      <c r="AE61" s="199"/>
      <c r="AF61" s="199"/>
      <c r="AG61" s="199"/>
      <c r="AH61" s="199"/>
      <c r="AI61" s="199"/>
      <c r="AJ61" s="199"/>
      <c r="AK61" s="199"/>
      <c r="AL61" s="199"/>
      <c r="AM61" s="176"/>
      <c r="AN61" s="176"/>
      <c r="AO61" s="176"/>
      <c r="AP61" s="176"/>
      <c r="AQ61" s="176"/>
      <c r="AR61" s="176"/>
      <c r="AS61" s="176"/>
      <c r="AT61" s="176"/>
      <c r="AU61" s="176"/>
      <c r="AV61" s="176"/>
      <c r="AW61" s="176"/>
      <c r="AX61" s="176"/>
      <c r="AY61" s="176"/>
      <c r="AZ61" s="176"/>
      <c r="BA61" s="176"/>
      <c r="BB61" s="176"/>
      <c r="BC61" s="176"/>
      <c r="BD61" s="176"/>
      <c r="BE61" s="176"/>
      <c r="BF61" s="176"/>
    </row>
    <row r="62" spans="1:58" x14ac:dyDescent="0.25">
      <c r="A62" s="300">
        <v>1</v>
      </c>
      <c r="B62" s="342">
        <v>1.0044999999999999</v>
      </c>
      <c r="C62" s="301">
        <v>0.9879</v>
      </c>
      <c r="D62" s="342">
        <v>5.7394999999999996</v>
      </c>
      <c r="E62" s="301">
        <v>5.4817999999999998</v>
      </c>
      <c r="F62" s="301">
        <v>2.5198999999999998</v>
      </c>
      <c r="G62" s="301">
        <v>2.4331999999999998</v>
      </c>
      <c r="H62" s="258">
        <f t="shared" ref="H62:I69" si="20">(F62-B62)*100/(D62-B62)</f>
        <v>32.004223864836327</v>
      </c>
      <c r="I62" s="258">
        <f t="shared" si="20"/>
        <v>32.16137430739446</v>
      </c>
      <c r="J62" s="321">
        <f t="shared" ref="J62" si="21">AVERAGE(H62:I62)</f>
        <v>32.082799086115394</v>
      </c>
      <c r="K62" s="306"/>
      <c r="L62" s="306"/>
      <c r="M62" s="321">
        <f t="shared" ref="M62:N62" si="22">((F62-K62)/D62)*100</f>
        <v>43.904521299764788</v>
      </c>
      <c r="N62" s="322">
        <f t="shared" si="22"/>
        <v>44.386880221824946</v>
      </c>
      <c r="O62" s="323">
        <f t="shared" ref="O62" si="23">AVERAGE(M62:N62)</f>
        <v>44.145700760794867</v>
      </c>
      <c r="P62" s="176"/>
      <c r="Q62" s="176"/>
      <c r="R62" s="176"/>
      <c r="S62" s="176"/>
      <c r="T62" s="176"/>
      <c r="U62" s="199"/>
      <c r="V62" s="199"/>
      <c r="W62" s="199"/>
      <c r="X62" s="199"/>
      <c r="Y62" s="199"/>
      <c r="Z62" s="199"/>
      <c r="AA62" s="199"/>
      <c r="AB62" s="199"/>
      <c r="AC62" s="199"/>
      <c r="AD62" s="199"/>
      <c r="AE62" s="199"/>
      <c r="AF62" s="199"/>
      <c r="AG62" s="199"/>
      <c r="AH62" s="199"/>
      <c r="AI62" s="199"/>
      <c r="AJ62" s="199"/>
      <c r="AK62" s="199"/>
      <c r="AL62" s="293"/>
      <c r="AM62" s="176"/>
      <c r="AN62" s="176"/>
      <c r="AO62" s="176"/>
      <c r="AP62" s="176"/>
      <c r="AQ62" s="176"/>
      <c r="AR62" s="176"/>
      <c r="AS62" s="176"/>
      <c r="AT62" s="176"/>
      <c r="AU62" s="176"/>
      <c r="AV62" s="176"/>
      <c r="AW62" s="176"/>
      <c r="AX62" s="176"/>
      <c r="AY62" s="176"/>
      <c r="AZ62" s="176"/>
      <c r="BA62" s="176"/>
      <c r="BB62" s="176"/>
      <c r="BC62" s="176"/>
      <c r="BD62" s="176"/>
      <c r="BE62" s="176"/>
      <c r="BF62" s="176"/>
    </row>
    <row r="63" spans="1:58" ht="16.5" thickBot="1" x14ac:dyDescent="0.3">
      <c r="A63" s="300">
        <v>2</v>
      </c>
      <c r="B63" s="301">
        <v>0.9859</v>
      </c>
      <c r="C63" s="342">
        <v>0.99850000000000005</v>
      </c>
      <c r="D63" s="301">
        <v>6.0491000000000001</v>
      </c>
      <c r="E63" s="342">
        <v>6.43</v>
      </c>
      <c r="F63" s="312">
        <v>2.6355</v>
      </c>
      <c r="G63" s="301">
        <v>2.7648999999999999</v>
      </c>
      <c r="H63" s="258">
        <f t="shared" si="20"/>
        <v>32.580186443355984</v>
      </c>
      <c r="I63" s="258">
        <f t="shared" si="20"/>
        <v>32.521402927368129</v>
      </c>
      <c r="J63" s="321">
        <f>AVERAGE(H63:I63)</f>
        <v>32.550794685362057</v>
      </c>
      <c r="K63" s="306"/>
      <c r="L63" s="306"/>
      <c r="M63" s="321">
        <f>((F63-K63)/D63)*100</f>
        <v>43.568464730290458</v>
      </c>
      <c r="N63" s="322">
        <f>((G63-L63)/E63)*100</f>
        <v>43</v>
      </c>
      <c r="O63" s="323">
        <f>AVERAGE(M63:N63)</f>
        <v>43.284232365145229</v>
      </c>
      <c r="P63" s="176"/>
      <c r="Q63" s="176"/>
      <c r="R63" s="176"/>
      <c r="S63" s="176"/>
      <c r="T63" s="176"/>
      <c r="U63" s="199"/>
      <c r="V63" s="199"/>
      <c r="W63" s="199"/>
      <c r="X63" s="199"/>
      <c r="Y63" s="199"/>
      <c r="Z63" s="199"/>
      <c r="AA63" s="199"/>
      <c r="AB63" s="199"/>
      <c r="AC63" s="199"/>
      <c r="AD63" s="199"/>
      <c r="AE63" s="199"/>
      <c r="AF63" s="199"/>
      <c r="AG63" s="199"/>
      <c r="AH63" s="199"/>
      <c r="AI63" s="199"/>
      <c r="AJ63" s="199"/>
      <c r="AK63" s="199"/>
      <c r="AL63" s="293"/>
      <c r="AM63" s="176"/>
      <c r="AN63" s="176"/>
      <c r="AO63" s="176"/>
      <c r="AP63" s="176"/>
      <c r="AQ63" s="176"/>
      <c r="AR63" s="176"/>
      <c r="AS63" s="176"/>
      <c r="AT63" s="176"/>
      <c r="AU63" s="176"/>
      <c r="AV63" s="176"/>
      <c r="AW63" s="176"/>
      <c r="AX63" s="176"/>
      <c r="AY63" s="176"/>
      <c r="AZ63" s="176"/>
      <c r="BA63" s="176"/>
      <c r="BB63" s="176"/>
      <c r="BC63" s="176"/>
      <c r="BD63" s="176"/>
      <c r="BE63" s="176"/>
      <c r="BF63" s="176"/>
    </row>
    <row r="64" spans="1:58" x14ac:dyDescent="0.25">
      <c r="A64" s="300">
        <v>3</v>
      </c>
      <c r="B64" s="342">
        <v>0.98850000000000005</v>
      </c>
      <c r="C64" s="310">
        <v>0.997</v>
      </c>
      <c r="D64" s="342">
        <v>6.0865</v>
      </c>
      <c r="E64" s="311">
        <v>6.0670999999999999</v>
      </c>
      <c r="F64" s="301">
        <v>2.6398000000000001</v>
      </c>
      <c r="G64" s="301">
        <v>2.6334</v>
      </c>
      <c r="H64" s="258">
        <f t="shared" si="20"/>
        <v>32.391133777952135</v>
      </c>
      <c r="I64" s="258">
        <f t="shared" si="20"/>
        <v>32.27549752470366</v>
      </c>
      <c r="J64" s="321">
        <f t="shared" ref="J64:J69" si="24">AVERAGE(H64:I64)</f>
        <v>32.333315651327894</v>
      </c>
      <c r="K64" s="306"/>
      <c r="L64" s="306"/>
      <c r="M64" s="321">
        <f>((F64-K64)/D64)*100</f>
        <v>43.371395711821251</v>
      </c>
      <c r="N64" s="321">
        <f>((G64-L64)/E64)*100</f>
        <v>43.404591979693755</v>
      </c>
      <c r="O64" s="323">
        <f t="shared" ref="O64:O66" si="25">AVERAGE(M64:N64)</f>
        <v>43.387993845757507</v>
      </c>
      <c r="P64" s="176"/>
      <c r="Q64" s="176"/>
      <c r="R64" s="176"/>
      <c r="S64" s="176"/>
      <c r="T64" s="176"/>
      <c r="U64" s="199"/>
      <c r="V64" s="199"/>
      <c r="W64" s="199"/>
      <c r="X64" s="199"/>
      <c r="Y64" s="199"/>
      <c r="Z64" s="199"/>
      <c r="AA64" s="199"/>
      <c r="AB64" s="199"/>
      <c r="AC64" s="199"/>
      <c r="AD64" s="199"/>
      <c r="AE64" s="199"/>
      <c r="AF64" s="199"/>
      <c r="AG64" s="199"/>
      <c r="AH64" s="199"/>
      <c r="AI64" s="199"/>
      <c r="AJ64" s="199"/>
      <c r="AK64" s="199"/>
      <c r="AL64" s="199"/>
      <c r="AM64" s="176"/>
      <c r="AN64" s="176"/>
      <c r="AO64" s="176"/>
      <c r="AP64" s="176"/>
      <c r="AQ64" s="176"/>
      <c r="AR64" s="176"/>
      <c r="AS64" s="176"/>
      <c r="AT64" s="176"/>
      <c r="AU64" s="176"/>
      <c r="AV64" s="176"/>
      <c r="AW64" s="176"/>
      <c r="AX64" s="176"/>
      <c r="AY64" s="176"/>
      <c r="AZ64" s="176"/>
      <c r="BA64" s="176"/>
      <c r="BB64" s="176"/>
      <c r="BC64" s="176"/>
      <c r="BD64" s="176"/>
      <c r="BE64" s="176"/>
      <c r="BF64" s="176"/>
    </row>
    <row r="65" spans="1:58" x14ac:dyDescent="0.25">
      <c r="A65" s="300">
        <v>4</v>
      </c>
      <c r="B65" s="301">
        <v>0.9899</v>
      </c>
      <c r="C65" s="342">
        <v>1.0212000000000001</v>
      </c>
      <c r="D65" s="301">
        <v>5.1554000000000002</v>
      </c>
      <c r="E65" s="342">
        <v>6.4198000000000004</v>
      </c>
      <c r="F65" s="325">
        <v>2.3229000000000002</v>
      </c>
      <c r="G65" s="301">
        <v>2.7313000000000001</v>
      </c>
      <c r="H65" s="258">
        <f t="shared" si="20"/>
        <v>32.000960268875289</v>
      </c>
      <c r="I65" s="258">
        <f t="shared" si="20"/>
        <v>31.676731004334457</v>
      </c>
      <c r="J65" s="321">
        <f t="shared" si="24"/>
        <v>31.838845636604873</v>
      </c>
      <c r="K65" s="306"/>
      <c r="L65" s="306"/>
      <c r="M65" s="321">
        <f>((F65-K65)/D66)*100</f>
        <v>39.564987821702921</v>
      </c>
      <c r="N65" s="322">
        <f>((G65-L65)/E64)*100</f>
        <v>45.018212984786807</v>
      </c>
      <c r="O65" s="323">
        <f t="shared" si="25"/>
        <v>42.291600403244864</v>
      </c>
      <c r="P65" s="176"/>
      <c r="Q65" s="176"/>
      <c r="R65" s="176"/>
      <c r="S65" s="176"/>
      <c r="T65" s="176"/>
      <c r="U65" s="199"/>
      <c r="V65" s="199"/>
      <c r="W65" s="199"/>
      <c r="X65" s="199"/>
      <c r="Y65" s="199"/>
      <c r="Z65" s="199"/>
      <c r="AA65" s="199"/>
      <c r="AB65" s="199"/>
      <c r="AC65" s="199"/>
      <c r="AD65" s="199"/>
      <c r="AE65" s="199"/>
      <c r="AF65" s="199"/>
      <c r="AG65" s="199"/>
      <c r="AH65" s="199"/>
      <c r="AI65" s="199"/>
      <c r="AJ65" s="199"/>
      <c r="AK65" s="199"/>
      <c r="AL65" s="293"/>
      <c r="AM65" s="176"/>
      <c r="AN65" s="176"/>
      <c r="AO65" s="176"/>
      <c r="AP65" s="176"/>
      <c r="AQ65" s="176"/>
      <c r="AR65" s="176"/>
      <c r="AS65" s="176"/>
      <c r="AT65" s="176"/>
      <c r="AU65" s="176"/>
      <c r="AV65" s="176"/>
      <c r="AW65" s="176"/>
      <c r="AX65" s="176"/>
      <c r="AY65" s="176"/>
      <c r="AZ65" s="176"/>
      <c r="BA65" s="176"/>
      <c r="BB65" s="176"/>
      <c r="BC65" s="176"/>
      <c r="BD65" s="176"/>
      <c r="BE65" s="176"/>
      <c r="BF65" s="176"/>
    </row>
    <row r="66" spans="1:58" x14ac:dyDescent="0.25">
      <c r="A66" s="300">
        <v>5</v>
      </c>
      <c r="B66" s="342">
        <v>1.004</v>
      </c>
      <c r="C66" s="301">
        <v>0.99919999999999998</v>
      </c>
      <c r="D66" s="449">
        <v>5.8711000000000002</v>
      </c>
      <c r="E66" s="301">
        <v>6.3391000000000002</v>
      </c>
      <c r="F66" s="301">
        <v>2.5495000000000001</v>
      </c>
      <c r="G66" s="301">
        <v>2.7002999999999999</v>
      </c>
      <c r="H66" s="258">
        <f t="shared" si="20"/>
        <v>31.754021902159394</v>
      </c>
      <c r="I66" s="258">
        <f t="shared" si="20"/>
        <v>31.856401805277248</v>
      </c>
      <c r="J66" s="321">
        <f t="shared" si="24"/>
        <v>31.805211853718319</v>
      </c>
      <c r="K66" s="306"/>
      <c r="L66" s="306"/>
      <c r="M66" s="321">
        <f>((F66-K66)/D89)*100</f>
        <v>43.424571204714617</v>
      </c>
      <c r="N66" s="322">
        <f>((G66-L66)/E65)*100</f>
        <v>42.062058008037631</v>
      </c>
      <c r="O66" s="323">
        <f t="shared" si="25"/>
        <v>42.743314606376124</v>
      </c>
      <c r="P66" s="176"/>
      <c r="Q66" s="176"/>
      <c r="R66" s="176"/>
      <c r="S66" s="176"/>
      <c r="T66" s="176"/>
      <c r="U66" s="199"/>
      <c r="V66" s="199"/>
      <c r="W66" s="199"/>
      <c r="X66" s="199"/>
      <c r="Y66" s="199"/>
      <c r="Z66" s="199"/>
      <c r="AA66" s="199"/>
      <c r="AB66" s="199"/>
      <c r="AC66" s="199"/>
      <c r="AD66" s="199"/>
      <c r="AE66" s="199"/>
      <c r="AF66" s="199"/>
      <c r="AG66" s="199"/>
      <c r="AH66" s="199"/>
      <c r="AI66" s="199"/>
      <c r="AJ66" s="199"/>
      <c r="AK66" s="199"/>
      <c r="AL66" s="199"/>
      <c r="AM66" s="176"/>
      <c r="AN66" s="176"/>
      <c r="AO66" s="176"/>
      <c r="AP66" s="176"/>
      <c r="AQ66" s="176"/>
      <c r="AR66" s="176"/>
      <c r="AS66" s="176"/>
      <c r="AT66" s="176"/>
      <c r="AU66" s="176"/>
      <c r="AV66" s="176"/>
      <c r="AW66" s="176"/>
      <c r="AX66" s="176"/>
      <c r="AY66" s="176"/>
      <c r="AZ66" s="176"/>
      <c r="BA66" s="176"/>
      <c r="BB66" s="176"/>
      <c r="BC66" s="176"/>
      <c r="BD66" s="176"/>
      <c r="BE66" s="176"/>
      <c r="BF66" s="176"/>
    </row>
    <row r="67" spans="1:58" x14ac:dyDescent="0.25">
      <c r="A67" s="300"/>
      <c r="B67" s="450">
        <v>0.99099999999999999</v>
      </c>
      <c r="C67" s="311">
        <v>1.004</v>
      </c>
      <c r="D67" s="311">
        <v>6.1707000000000001</v>
      </c>
      <c r="E67" s="311">
        <v>5.8765000000000001</v>
      </c>
      <c r="F67" s="311">
        <v>2.6642000000000001</v>
      </c>
      <c r="G67" s="311">
        <v>2.5871</v>
      </c>
      <c r="H67" s="454">
        <f t="shared" si="20"/>
        <v>32.303029132961363</v>
      </c>
      <c r="I67" s="258">
        <f t="shared" si="20"/>
        <v>32.4905079527963</v>
      </c>
      <c r="J67" s="321">
        <f t="shared" si="24"/>
        <v>32.396768542878831</v>
      </c>
      <c r="K67" s="306"/>
      <c r="L67" s="306"/>
      <c r="M67" s="321"/>
      <c r="N67" s="322"/>
      <c r="O67" s="323"/>
      <c r="P67" s="176"/>
      <c r="Q67" s="176"/>
      <c r="R67" s="176"/>
      <c r="S67" s="176"/>
      <c r="T67" s="176"/>
      <c r="U67" s="199"/>
      <c r="V67" s="199"/>
      <c r="W67" s="199"/>
      <c r="X67" s="199"/>
      <c r="Y67" s="199"/>
      <c r="Z67" s="199"/>
      <c r="AA67" s="199"/>
      <c r="AB67" s="199"/>
      <c r="AC67" s="199"/>
      <c r="AD67" s="199"/>
      <c r="AE67" s="199"/>
      <c r="AF67" s="199"/>
      <c r="AG67" s="199"/>
      <c r="AH67" s="199"/>
      <c r="AI67" s="199"/>
      <c r="AJ67" s="199"/>
      <c r="AK67" s="199"/>
      <c r="AL67" s="293"/>
      <c r="AM67" s="176"/>
      <c r="AN67" s="176"/>
      <c r="AO67" s="176"/>
      <c r="AP67" s="176"/>
      <c r="AQ67" s="176"/>
      <c r="AR67" s="176"/>
      <c r="AS67" s="176"/>
      <c r="AT67" s="176"/>
      <c r="AU67" s="176"/>
      <c r="AV67" s="176"/>
      <c r="AW67" s="176"/>
      <c r="AX67" s="176"/>
      <c r="AY67" s="176"/>
      <c r="AZ67" s="176"/>
      <c r="BA67" s="176"/>
      <c r="BB67" s="176"/>
      <c r="BC67" s="176"/>
      <c r="BD67" s="176"/>
      <c r="BE67" s="176"/>
      <c r="BF67" s="176"/>
    </row>
    <row r="68" spans="1:58" x14ac:dyDescent="0.25">
      <c r="A68" s="451" t="s">
        <v>118</v>
      </c>
      <c r="B68" s="452">
        <v>1.0302</v>
      </c>
      <c r="C68" s="311">
        <v>0.99129999999999996</v>
      </c>
      <c r="D68" s="311">
        <v>5.3262</v>
      </c>
      <c r="E68" s="311">
        <v>5.0174000000000003</v>
      </c>
      <c r="F68" s="311">
        <v>2.3296999999999999</v>
      </c>
      <c r="G68" s="311">
        <v>2.2277</v>
      </c>
      <c r="H68" s="454">
        <f t="shared" si="20"/>
        <v>30.249068901303534</v>
      </c>
      <c r="I68" s="258">
        <f t="shared" si="20"/>
        <v>30.709619731253571</v>
      </c>
      <c r="J68" s="321">
        <f t="shared" si="24"/>
        <v>30.479344316278553</v>
      </c>
      <c r="K68" s="327"/>
      <c r="L68" s="327"/>
      <c r="M68" s="321">
        <f t="shared" ref="M68:N69" si="26">((F68-K68)/D68)*100</f>
        <v>43.740377755247636</v>
      </c>
      <c r="N68" s="322">
        <f t="shared" si="26"/>
        <v>44.399489775580975</v>
      </c>
      <c r="O68" s="323">
        <f t="shared" ref="O68:O69" si="27">AVERAGE(M68:N68)</f>
        <v>44.069933765414305</v>
      </c>
      <c r="P68" s="176"/>
      <c r="Q68" s="176"/>
      <c r="R68" s="176"/>
      <c r="S68" s="176"/>
      <c r="T68" s="176"/>
      <c r="U68" s="199"/>
      <c r="V68" s="199"/>
      <c r="W68" s="199"/>
      <c r="X68" s="199"/>
      <c r="Y68" s="199"/>
      <c r="Z68" s="199"/>
      <c r="AA68" s="199"/>
      <c r="AB68" s="199"/>
      <c r="AC68" s="199"/>
      <c r="AD68" s="199"/>
      <c r="AE68" s="199"/>
      <c r="AF68" s="199"/>
      <c r="AG68" s="199"/>
      <c r="AH68" s="199"/>
      <c r="AI68" s="199"/>
      <c r="AJ68" s="199"/>
      <c r="AK68" s="199"/>
      <c r="AL68" s="293"/>
      <c r="AM68" s="176"/>
      <c r="AN68" s="176"/>
      <c r="AO68" s="176"/>
      <c r="AP68" s="176"/>
      <c r="AQ68" s="176"/>
      <c r="AR68" s="176"/>
      <c r="AS68" s="176"/>
      <c r="AT68" s="176"/>
      <c r="AU68" s="176"/>
      <c r="AV68" s="176"/>
      <c r="AW68" s="176"/>
      <c r="AX68" s="176"/>
      <c r="AY68" s="176"/>
      <c r="AZ68" s="176"/>
      <c r="BA68" s="176"/>
      <c r="BB68" s="176"/>
      <c r="BC68" s="176"/>
      <c r="BD68" s="176"/>
      <c r="BE68" s="176"/>
      <c r="BF68" s="176"/>
    </row>
    <row r="69" spans="1:58" ht="16.5" thickBot="1" x14ac:dyDescent="0.3">
      <c r="A69" s="314" t="s">
        <v>119</v>
      </c>
      <c r="B69" s="453">
        <v>0.99719999999999998</v>
      </c>
      <c r="C69" s="311">
        <v>1.0051000000000001</v>
      </c>
      <c r="D69" s="311">
        <v>10.4413</v>
      </c>
      <c r="E69" s="311">
        <v>10.5265</v>
      </c>
      <c r="F69" s="311">
        <v>1.3299000000000001</v>
      </c>
      <c r="G69" s="311">
        <v>1.3364</v>
      </c>
      <c r="H69" s="454">
        <f t="shared" si="20"/>
        <v>3.5228343621943869</v>
      </c>
      <c r="I69" s="258">
        <f t="shared" si="20"/>
        <v>3.4795303211712558</v>
      </c>
      <c r="J69" s="321">
        <f t="shared" si="24"/>
        <v>3.5011823416828216</v>
      </c>
      <c r="K69" s="306"/>
      <c r="L69" s="329">
        <v>1.1214999999999999</v>
      </c>
      <c r="M69" s="330"/>
      <c r="N69" s="331">
        <f t="shared" si="26"/>
        <v>2.0415142735002147</v>
      </c>
      <c r="O69" s="332">
        <f t="shared" si="27"/>
        <v>2.0415142735002147</v>
      </c>
      <c r="P69" s="176"/>
      <c r="Q69" s="176"/>
      <c r="R69" s="176"/>
      <c r="S69" s="176"/>
      <c r="T69" s="176"/>
      <c r="U69" s="199"/>
      <c r="V69" s="199"/>
      <c r="W69" s="199"/>
      <c r="X69" s="199"/>
      <c r="Y69" s="199"/>
      <c r="Z69" s="199"/>
      <c r="AA69" s="199"/>
      <c r="AB69" s="199"/>
      <c r="AC69" s="199"/>
      <c r="AD69" s="199"/>
      <c r="AE69" s="199"/>
      <c r="AF69" s="199"/>
      <c r="AG69" s="199"/>
      <c r="AH69" s="199"/>
      <c r="AI69" s="199"/>
      <c r="AJ69" s="199"/>
      <c r="AK69" s="199"/>
      <c r="AL69" s="199"/>
      <c r="AM69" s="176"/>
      <c r="AN69" s="176"/>
      <c r="AO69" s="176"/>
      <c r="AP69" s="176"/>
      <c r="AQ69" s="176"/>
      <c r="AR69" s="176"/>
      <c r="AS69" s="176"/>
      <c r="AT69" s="176"/>
      <c r="AU69" s="176"/>
      <c r="AV69" s="176"/>
      <c r="AW69" s="176"/>
      <c r="AX69" s="176"/>
      <c r="AY69" s="176"/>
      <c r="AZ69" s="176"/>
      <c r="BA69" s="176"/>
      <c r="BB69" s="176"/>
      <c r="BC69" s="176"/>
      <c r="BD69" s="176"/>
      <c r="BE69" s="176"/>
      <c r="BF69" s="176"/>
    </row>
    <row r="70" spans="1:58" x14ac:dyDescent="0.25">
      <c r="A70" s="300"/>
      <c r="B70" s="301"/>
      <c r="C70" s="343"/>
      <c r="D70" s="343"/>
      <c r="E70" s="343"/>
      <c r="F70" s="476"/>
      <c r="G70" s="343"/>
      <c r="H70" s="321"/>
      <c r="I70" s="321"/>
      <c r="J70" s="321"/>
      <c r="K70" s="306"/>
      <c r="L70" s="306"/>
      <c r="M70" s="321"/>
      <c r="N70" s="322"/>
      <c r="O70" s="323"/>
      <c r="P70" s="176"/>
      <c r="Q70" s="176"/>
      <c r="R70" s="176"/>
      <c r="S70" s="176"/>
      <c r="T70" s="176"/>
      <c r="U70" s="199"/>
      <c r="V70" s="199"/>
      <c r="W70" s="199"/>
      <c r="X70" s="199"/>
      <c r="Y70" s="199"/>
      <c r="Z70" s="199"/>
      <c r="AA70" s="199"/>
      <c r="AB70" s="199"/>
      <c r="AC70" s="199"/>
      <c r="AD70" s="199"/>
      <c r="AE70" s="199"/>
      <c r="AF70" s="199"/>
      <c r="AG70" s="199"/>
      <c r="AH70" s="199"/>
      <c r="AI70" s="199"/>
      <c r="AJ70" s="199"/>
      <c r="AK70" s="199"/>
      <c r="AL70" s="293"/>
      <c r="AM70" s="176"/>
      <c r="AN70" s="176"/>
      <c r="AO70" s="176"/>
      <c r="AP70" s="176"/>
      <c r="AQ70" s="176"/>
      <c r="AR70" s="176"/>
      <c r="AS70" s="176"/>
      <c r="AT70" s="176"/>
      <c r="AU70" s="176"/>
      <c r="AV70" s="176"/>
      <c r="AW70" s="176"/>
      <c r="AX70" s="176"/>
      <c r="AY70" s="176"/>
      <c r="AZ70" s="176"/>
      <c r="BA70" s="176"/>
      <c r="BB70" s="176"/>
      <c r="BC70" s="176"/>
      <c r="BD70" s="176"/>
      <c r="BE70" s="176"/>
      <c r="BF70" s="176"/>
    </row>
    <row r="71" spans="1:58" x14ac:dyDescent="0.25">
      <c r="A71" s="176"/>
      <c r="B71" s="176"/>
      <c r="C71" s="176"/>
      <c r="D71" s="176"/>
      <c r="E71" s="176"/>
      <c r="F71" s="176"/>
      <c r="G71" s="176"/>
      <c r="H71" s="176"/>
      <c r="I71" s="176"/>
      <c r="J71" s="176"/>
      <c r="K71" s="176"/>
      <c r="L71" s="176"/>
      <c r="M71" s="176"/>
      <c r="N71" s="176"/>
      <c r="O71" s="176"/>
      <c r="P71" s="176"/>
      <c r="Q71" s="176"/>
      <c r="R71" s="176"/>
      <c r="S71" s="176"/>
      <c r="T71" s="176"/>
      <c r="U71" s="199"/>
      <c r="V71" s="199"/>
      <c r="W71" s="199"/>
      <c r="X71" s="199"/>
      <c r="Y71" s="199"/>
      <c r="Z71" s="199"/>
      <c r="AA71" s="199"/>
      <c r="AB71" s="199"/>
      <c r="AC71" s="199"/>
      <c r="AD71" s="199"/>
      <c r="AE71" s="199"/>
      <c r="AF71" s="199"/>
      <c r="AG71" s="199"/>
      <c r="AH71" s="199"/>
      <c r="AI71" s="199"/>
      <c r="AJ71" s="199"/>
      <c r="AK71" s="199"/>
      <c r="AL71" s="199"/>
      <c r="AM71" s="176"/>
      <c r="AN71" s="176"/>
      <c r="AO71" s="176"/>
      <c r="AP71" s="176"/>
      <c r="AQ71" s="176"/>
      <c r="AR71" s="176"/>
      <c r="AS71" s="176"/>
      <c r="AT71" s="176"/>
      <c r="AU71" s="176"/>
      <c r="AV71" s="176"/>
      <c r="AW71" s="176"/>
      <c r="AX71" s="176"/>
      <c r="AY71" s="176"/>
      <c r="AZ71" s="176"/>
      <c r="BA71" s="176"/>
      <c r="BB71" s="176"/>
      <c r="BC71" s="176"/>
      <c r="BD71" s="176"/>
      <c r="BE71" s="176"/>
      <c r="BF71" s="176"/>
    </row>
    <row r="72" spans="1:58" x14ac:dyDescent="0.25">
      <c r="A72" s="333" t="s">
        <v>174</v>
      </c>
      <c r="B72" s="334"/>
      <c r="C72" s="334"/>
      <c r="D72" s="334"/>
      <c r="E72" s="334"/>
      <c r="F72" s="334"/>
      <c r="G72" s="334"/>
      <c r="H72" s="334"/>
      <c r="I72" s="334"/>
      <c r="J72" s="334"/>
      <c r="K72" s="334"/>
      <c r="L72" s="334"/>
      <c r="M72" s="334"/>
      <c r="N72" s="334"/>
      <c r="O72" s="334"/>
      <c r="P72" s="334"/>
      <c r="Q72" s="176"/>
      <c r="R72" s="176"/>
      <c r="S72" s="176"/>
      <c r="T72" s="176"/>
      <c r="U72" s="199"/>
      <c r="V72" s="199"/>
      <c r="W72" s="199"/>
      <c r="X72" s="199"/>
      <c r="Y72" s="199"/>
      <c r="Z72" s="199"/>
      <c r="AA72" s="199"/>
      <c r="AB72" s="199"/>
      <c r="AC72" s="199"/>
      <c r="AD72" s="199"/>
      <c r="AE72" s="199"/>
      <c r="AF72" s="199"/>
      <c r="AG72" s="199"/>
      <c r="AH72" s="199"/>
      <c r="AI72" s="199"/>
      <c r="AJ72" s="199"/>
      <c r="AK72" s="199"/>
      <c r="AL72" s="293"/>
      <c r="AM72" s="176"/>
      <c r="AN72" s="176"/>
      <c r="AO72" s="176"/>
      <c r="AP72" s="176"/>
      <c r="AQ72" s="176"/>
      <c r="AR72" s="176"/>
      <c r="AS72" s="176"/>
      <c r="AT72" s="176"/>
      <c r="AU72" s="176"/>
      <c r="AV72" s="176"/>
      <c r="AW72" s="176"/>
      <c r="AX72" s="176"/>
      <c r="AY72" s="176"/>
      <c r="AZ72" s="176"/>
      <c r="BA72" s="176"/>
      <c r="BB72" s="176"/>
      <c r="BC72" s="176"/>
      <c r="BD72" s="176"/>
      <c r="BE72" s="176"/>
      <c r="BF72" s="176"/>
    </row>
    <row r="73" spans="1:58" ht="16.5" thickBot="1" x14ac:dyDescent="0.3">
      <c r="A73" s="334"/>
      <c r="B73" s="334"/>
      <c r="C73" s="334"/>
      <c r="D73" s="334"/>
      <c r="E73" s="334"/>
      <c r="F73" s="334"/>
      <c r="G73" s="334"/>
      <c r="H73" s="334"/>
      <c r="I73" s="334"/>
      <c r="J73" s="334"/>
      <c r="K73" s="334"/>
      <c r="L73" s="334"/>
      <c r="M73" s="334"/>
      <c r="N73" s="334"/>
      <c r="O73" s="334"/>
      <c r="P73" s="334"/>
      <c r="Q73" s="176"/>
      <c r="R73" s="176"/>
      <c r="S73" s="176"/>
      <c r="T73" s="176"/>
      <c r="U73" s="199"/>
      <c r="V73" s="199"/>
      <c r="W73" s="199"/>
      <c r="X73" s="199"/>
      <c r="Y73" s="199"/>
      <c r="Z73" s="199"/>
      <c r="AA73" s="199"/>
      <c r="AB73" s="199"/>
      <c r="AC73" s="199"/>
      <c r="AD73" s="199"/>
      <c r="AE73" s="199"/>
      <c r="AF73" s="199"/>
      <c r="AG73" s="199"/>
      <c r="AH73" s="199"/>
      <c r="AI73" s="199"/>
      <c r="AJ73" s="199"/>
      <c r="AK73" s="199"/>
      <c r="AL73" s="199"/>
      <c r="AM73" s="176"/>
      <c r="AN73" s="176"/>
      <c r="AO73" s="176"/>
      <c r="AP73" s="176"/>
      <c r="AQ73" s="176"/>
      <c r="AR73" s="176"/>
      <c r="AS73" s="176"/>
      <c r="AT73" s="176"/>
      <c r="AU73" s="176"/>
      <c r="AV73" s="176"/>
      <c r="AW73" s="176"/>
      <c r="AX73" s="176"/>
      <c r="AY73" s="176"/>
      <c r="AZ73" s="176"/>
      <c r="BA73" s="176"/>
      <c r="BB73" s="176"/>
      <c r="BC73" s="176"/>
      <c r="BD73" s="176"/>
      <c r="BE73" s="176"/>
      <c r="BF73" s="176"/>
    </row>
    <row r="74" spans="1:58" x14ac:dyDescent="0.25">
      <c r="A74" s="518" t="s">
        <v>82</v>
      </c>
      <c r="B74" s="514"/>
      <c r="C74" s="514"/>
      <c r="D74" s="514"/>
      <c r="E74" s="514"/>
      <c r="F74" s="514"/>
      <c r="G74" s="514"/>
      <c r="H74" s="514"/>
      <c r="I74" s="514"/>
      <c r="J74" s="514"/>
      <c r="K74" s="514"/>
      <c r="L74" s="514"/>
      <c r="M74" s="514"/>
      <c r="N74" s="514"/>
      <c r="O74" s="514"/>
      <c r="P74" s="514"/>
      <c r="Q74" s="176"/>
      <c r="R74" s="176"/>
      <c r="S74" s="176"/>
      <c r="T74" s="176"/>
      <c r="U74" s="199"/>
      <c r="V74" s="199"/>
      <c r="W74" s="199"/>
      <c r="X74" s="199"/>
      <c r="Y74" s="199"/>
      <c r="Z74" s="199"/>
      <c r="AA74" s="199"/>
      <c r="AB74" s="199"/>
      <c r="AC74" s="199"/>
      <c r="AD74" s="199"/>
      <c r="AE74" s="199"/>
      <c r="AF74" s="199"/>
      <c r="AG74" s="199"/>
      <c r="AH74" s="199"/>
      <c r="AI74" s="199"/>
      <c r="AJ74" s="199"/>
      <c r="AK74" s="199"/>
      <c r="AL74" s="293"/>
      <c r="AM74" s="176"/>
      <c r="AN74" s="176"/>
      <c r="AO74" s="176"/>
      <c r="AP74" s="176"/>
      <c r="AQ74" s="176"/>
      <c r="AR74" s="176"/>
      <c r="AS74" s="176"/>
      <c r="AT74" s="176"/>
      <c r="AU74" s="176"/>
      <c r="AV74" s="176"/>
      <c r="AW74" s="176"/>
      <c r="AX74" s="176"/>
      <c r="AY74" s="176"/>
      <c r="AZ74" s="176"/>
      <c r="BA74" s="176"/>
      <c r="BB74" s="176"/>
      <c r="BC74" s="176"/>
      <c r="BD74" s="176"/>
      <c r="BE74" s="176"/>
      <c r="BF74" s="176"/>
    </row>
    <row r="75" spans="1:58" ht="32.25" customHeight="1" x14ac:dyDescent="0.25">
      <c r="A75" s="271" t="s">
        <v>84</v>
      </c>
      <c r="B75" s="272" t="s">
        <v>85</v>
      </c>
      <c r="C75" s="272" t="s">
        <v>86</v>
      </c>
      <c r="D75" s="272" t="s">
        <v>87</v>
      </c>
      <c r="E75" s="272" t="s">
        <v>88</v>
      </c>
      <c r="F75" s="272" t="s">
        <v>89</v>
      </c>
      <c r="G75" s="272" t="s">
        <v>90</v>
      </c>
      <c r="H75" s="272" t="s">
        <v>91</v>
      </c>
      <c r="I75" s="272" t="s">
        <v>92</v>
      </c>
      <c r="J75" s="272" t="s">
        <v>93</v>
      </c>
      <c r="K75" s="272" t="s">
        <v>94</v>
      </c>
      <c r="L75" s="272" t="s">
        <v>95</v>
      </c>
      <c r="M75" s="272" t="s">
        <v>96</v>
      </c>
      <c r="N75" s="272" t="s">
        <v>97</v>
      </c>
      <c r="O75" s="272" t="s">
        <v>98</v>
      </c>
      <c r="P75" s="335" t="s">
        <v>99</v>
      </c>
      <c r="Q75" s="176"/>
      <c r="R75" s="176"/>
      <c r="S75" s="176"/>
      <c r="T75" s="176"/>
      <c r="U75" s="199"/>
      <c r="V75" s="199"/>
      <c r="W75" s="199"/>
      <c r="X75" s="199"/>
      <c r="Y75" s="199"/>
      <c r="Z75" s="199"/>
      <c r="AA75" s="199"/>
      <c r="AB75" s="199"/>
      <c r="AC75" s="199"/>
      <c r="AD75" s="199"/>
      <c r="AE75" s="199"/>
      <c r="AF75" s="199"/>
      <c r="AG75" s="199"/>
      <c r="AH75" s="199"/>
      <c r="AI75" s="199"/>
      <c r="AJ75" s="199"/>
      <c r="AK75" s="199"/>
      <c r="AL75" s="199"/>
      <c r="AM75" s="176"/>
      <c r="AN75" s="176"/>
      <c r="AO75" s="176"/>
      <c r="AP75" s="176"/>
      <c r="AQ75" s="176"/>
      <c r="AR75" s="176"/>
      <c r="AS75" s="176"/>
      <c r="AT75" s="176"/>
      <c r="AU75" s="176"/>
      <c r="AV75" s="176"/>
      <c r="AW75" s="176"/>
      <c r="AX75" s="176"/>
      <c r="AY75" s="176"/>
      <c r="AZ75" s="176"/>
      <c r="BA75" s="176"/>
      <c r="BB75" s="176"/>
      <c r="BC75" s="176"/>
      <c r="BD75" s="176"/>
      <c r="BE75" s="176"/>
      <c r="BF75" s="176"/>
    </row>
    <row r="76" spans="1:58" x14ac:dyDescent="0.25">
      <c r="A76" s="300">
        <v>1</v>
      </c>
      <c r="B76" s="336">
        <v>1.1136999999999999</v>
      </c>
      <c r="C76" s="337"/>
      <c r="D76" s="302">
        <v>10</v>
      </c>
      <c r="E76" s="302">
        <v>10</v>
      </c>
      <c r="F76" s="277">
        <v>1.1214</v>
      </c>
      <c r="G76" s="303"/>
      <c r="H76" s="302">
        <v>1</v>
      </c>
      <c r="I76" s="304">
        <f t="shared" ref="I76:I80" si="28">(F76-B76)*1000*H76/D76</f>
        <v>0.77000000000000401</v>
      </c>
      <c r="J76" s="304">
        <f t="shared" ref="J76:J80" si="29">(G76-C76)*1000*H76/E76</f>
        <v>0</v>
      </c>
      <c r="K76" s="305">
        <f t="shared" ref="K76:K79" si="30">AVERAGE(I76:J76)</f>
        <v>0.38500000000000201</v>
      </c>
      <c r="L76" s="296"/>
      <c r="M76" s="306"/>
      <c r="N76" s="307">
        <f t="shared" ref="N76:N80" si="31">(F76-L76)/E76*1000000</f>
        <v>112139.99999999999</v>
      </c>
      <c r="O76" s="308">
        <f>(G76-M76)/E76*1000000</f>
        <v>0</v>
      </c>
      <c r="P76" s="309">
        <f>AVERAGE(O76)</f>
        <v>0</v>
      </c>
      <c r="Q76" s="176"/>
      <c r="R76" s="176"/>
      <c r="S76" s="176"/>
      <c r="T76" s="176"/>
      <c r="U76" s="199"/>
      <c r="V76" s="199"/>
      <c r="W76" s="199"/>
      <c r="X76" s="199"/>
      <c r="Y76" s="199"/>
      <c r="Z76" s="199"/>
      <c r="AA76" s="199"/>
      <c r="AB76" s="199"/>
      <c r="AC76" s="199"/>
      <c r="AD76" s="199"/>
      <c r="AE76" s="199"/>
      <c r="AF76" s="199"/>
      <c r="AG76" s="199"/>
      <c r="AH76" s="199"/>
      <c r="AI76" s="199"/>
      <c r="AJ76" s="199"/>
      <c r="AK76" s="199"/>
      <c r="AL76" s="293"/>
      <c r="AM76" s="176"/>
      <c r="AN76" s="176"/>
      <c r="AO76" s="176"/>
      <c r="AP76" s="176"/>
      <c r="AQ76" s="176"/>
      <c r="AR76" s="176"/>
      <c r="AS76" s="176"/>
      <c r="AT76" s="176"/>
      <c r="AU76" s="176"/>
      <c r="AV76" s="176"/>
      <c r="AW76" s="176"/>
      <c r="AX76" s="176"/>
      <c r="AY76" s="176"/>
      <c r="AZ76" s="176"/>
      <c r="BA76" s="176"/>
      <c r="BB76" s="176"/>
      <c r="BC76" s="176"/>
      <c r="BD76" s="176"/>
      <c r="BE76" s="176"/>
      <c r="BF76" s="176"/>
    </row>
    <row r="77" spans="1:58" ht="15.75" customHeight="1" x14ac:dyDescent="0.25">
      <c r="A77" s="300">
        <v>2</v>
      </c>
      <c r="B77" s="336">
        <v>1.1158999999999999</v>
      </c>
      <c r="C77" s="337"/>
      <c r="D77" s="302">
        <v>10</v>
      </c>
      <c r="E77" s="302">
        <v>10</v>
      </c>
      <c r="F77" s="277">
        <v>1.1215999999999999</v>
      </c>
      <c r="G77" s="303"/>
      <c r="H77" s="302">
        <v>1</v>
      </c>
      <c r="I77" s="304">
        <f t="shared" si="28"/>
        <v>0.57000000000000384</v>
      </c>
      <c r="J77" s="304">
        <f t="shared" si="29"/>
        <v>0</v>
      </c>
      <c r="K77" s="305">
        <f t="shared" si="30"/>
        <v>0.28500000000000192</v>
      </c>
      <c r="L77" s="337"/>
      <c r="M77" s="306"/>
      <c r="N77" s="307">
        <f t="shared" si="31"/>
        <v>112160</v>
      </c>
      <c r="O77" s="308">
        <f>(G77-M77)/E77*1000000</f>
        <v>0</v>
      </c>
      <c r="P77" s="309">
        <f>AVERAGE(O77)</f>
        <v>0</v>
      </c>
      <c r="Q77" s="176"/>
      <c r="R77" s="176"/>
      <c r="S77" s="176"/>
      <c r="T77" s="176"/>
      <c r="U77" s="199"/>
      <c r="V77" s="199"/>
      <c r="W77" s="199"/>
      <c r="X77" s="199"/>
      <c r="Y77" s="199"/>
      <c r="Z77" s="199"/>
      <c r="AA77" s="199"/>
      <c r="AB77" s="199"/>
      <c r="AC77" s="199"/>
      <c r="AD77" s="199"/>
      <c r="AE77" s="199"/>
      <c r="AF77" s="199"/>
      <c r="AG77" s="199"/>
      <c r="AH77" s="199"/>
      <c r="AI77" s="199"/>
      <c r="AJ77" s="199"/>
      <c r="AK77" s="199"/>
      <c r="AL77" s="293"/>
      <c r="AM77" s="176"/>
      <c r="AN77" s="176"/>
      <c r="AO77" s="176"/>
      <c r="AP77" s="176"/>
      <c r="AQ77" s="176"/>
      <c r="AR77" s="176"/>
      <c r="AS77" s="176"/>
      <c r="AT77" s="176"/>
      <c r="AU77" s="176"/>
      <c r="AV77" s="176"/>
      <c r="AW77" s="176"/>
      <c r="AX77" s="176"/>
      <c r="AY77" s="176"/>
      <c r="AZ77" s="176"/>
      <c r="BA77" s="176"/>
      <c r="BB77" s="176"/>
      <c r="BC77" s="176"/>
      <c r="BD77" s="176"/>
      <c r="BE77" s="176"/>
      <c r="BF77" s="176"/>
    </row>
    <row r="78" spans="1:58" x14ac:dyDescent="0.25">
      <c r="A78" s="300">
        <v>3</v>
      </c>
      <c r="B78" s="338">
        <v>1.1122000000000001</v>
      </c>
      <c r="C78" s="338"/>
      <c r="D78" s="302">
        <v>10</v>
      </c>
      <c r="E78" s="302">
        <v>10</v>
      </c>
      <c r="F78" s="303">
        <v>1.1191</v>
      </c>
      <c r="G78" s="303"/>
      <c r="H78" s="302">
        <v>1</v>
      </c>
      <c r="I78" s="304">
        <f t="shared" si="28"/>
        <v>0.68999999999999062</v>
      </c>
      <c r="J78" s="304">
        <f t="shared" si="29"/>
        <v>0</v>
      </c>
      <c r="K78" s="305">
        <f t="shared" si="30"/>
        <v>0.34499999999999531</v>
      </c>
      <c r="L78" s="338"/>
      <c r="M78" s="306"/>
      <c r="N78" s="307">
        <f t="shared" si="31"/>
        <v>111910</v>
      </c>
      <c r="O78" s="308">
        <f>(G78-M78)/E78*1000000</f>
        <v>0</v>
      </c>
      <c r="P78" s="309">
        <f>AVERAGE(N78:O78)</f>
        <v>55955</v>
      </c>
      <c r="Q78" s="176"/>
      <c r="R78" s="176"/>
      <c r="S78" s="176"/>
      <c r="T78" s="176"/>
      <c r="U78" s="199"/>
      <c r="V78" s="199"/>
      <c r="W78" s="199"/>
      <c r="X78" s="199"/>
      <c r="Y78" s="199"/>
      <c r="Z78" s="199"/>
      <c r="AA78" s="199"/>
      <c r="AB78" s="199"/>
      <c r="AC78" s="199"/>
      <c r="AD78" s="199"/>
      <c r="AE78" s="199"/>
      <c r="AF78" s="199"/>
      <c r="AG78" s="199"/>
      <c r="AH78" s="199"/>
      <c r="AI78" s="199"/>
      <c r="AJ78" s="199"/>
      <c r="AK78" s="199"/>
      <c r="AL78" s="199"/>
      <c r="AM78" s="176"/>
      <c r="AN78" s="176"/>
      <c r="AO78" s="176"/>
      <c r="AP78" s="176"/>
      <c r="AQ78" s="176"/>
      <c r="AR78" s="176"/>
      <c r="AS78" s="176"/>
      <c r="AT78" s="176"/>
      <c r="AU78" s="176"/>
      <c r="AV78" s="176"/>
      <c r="AW78" s="176"/>
      <c r="AX78" s="176"/>
      <c r="AY78" s="176"/>
      <c r="AZ78" s="176"/>
      <c r="BA78" s="176"/>
      <c r="BB78" s="176"/>
      <c r="BC78" s="176"/>
      <c r="BD78" s="176"/>
      <c r="BE78" s="176"/>
      <c r="BF78" s="176"/>
    </row>
    <row r="79" spans="1:58" x14ac:dyDescent="0.25">
      <c r="A79" s="300">
        <v>4</v>
      </c>
      <c r="B79" s="339">
        <v>1.1252</v>
      </c>
      <c r="C79" s="340"/>
      <c r="D79" s="302">
        <v>10</v>
      </c>
      <c r="E79" s="302">
        <v>10</v>
      </c>
      <c r="F79" s="303">
        <v>1.1315999999999999</v>
      </c>
      <c r="G79" s="303"/>
      <c r="H79" s="302">
        <v>1</v>
      </c>
      <c r="I79" s="304">
        <f t="shared" si="28"/>
        <v>0.63999999999999613</v>
      </c>
      <c r="J79" s="304">
        <f t="shared" si="29"/>
        <v>0</v>
      </c>
      <c r="K79" s="305">
        <f t="shared" si="30"/>
        <v>0.31999999999999806</v>
      </c>
      <c r="L79" s="306"/>
      <c r="M79" s="306"/>
      <c r="N79" s="307">
        <f t="shared" si="31"/>
        <v>113160</v>
      </c>
      <c r="O79" s="308">
        <f>(G79-M79)/E79*1000000</f>
        <v>0</v>
      </c>
      <c r="P79" s="309">
        <f>AVERAGE(N79:O79)</f>
        <v>56580</v>
      </c>
      <c r="Q79" s="176"/>
      <c r="R79" s="176"/>
      <c r="S79" s="176"/>
      <c r="T79" s="176"/>
      <c r="U79" s="199"/>
      <c r="V79" s="199"/>
      <c r="W79" s="199"/>
      <c r="X79" s="199"/>
      <c r="Y79" s="199"/>
      <c r="Z79" s="199"/>
      <c r="AA79" s="199"/>
      <c r="AB79" s="199"/>
      <c r="AC79" s="199"/>
      <c r="AD79" s="199"/>
      <c r="AE79" s="199"/>
      <c r="AF79" s="199"/>
      <c r="AG79" s="199"/>
      <c r="AH79" s="199"/>
      <c r="AI79" s="199"/>
      <c r="AJ79" s="199"/>
      <c r="AK79" s="199"/>
      <c r="AL79" s="293"/>
      <c r="AM79" s="176"/>
      <c r="AN79" s="176"/>
      <c r="AO79" s="176"/>
      <c r="AP79" s="176"/>
      <c r="AQ79" s="176"/>
      <c r="AR79" s="176"/>
      <c r="AS79" s="176"/>
      <c r="AT79" s="176"/>
      <c r="AU79" s="176"/>
      <c r="AV79" s="176"/>
      <c r="AW79" s="176"/>
      <c r="AX79" s="176"/>
      <c r="AY79" s="176"/>
      <c r="AZ79" s="176"/>
      <c r="BA79" s="176"/>
      <c r="BB79" s="176"/>
      <c r="BC79" s="176"/>
      <c r="BD79" s="176"/>
      <c r="BE79" s="176"/>
      <c r="BF79" s="176"/>
    </row>
    <row r="80" spans="1:58" x14ac:dyDescent="0.25">
      <c r="A80" s="300">
        <v>5</v>
      </c>
      <c r="B80" s="277">
        <v>1.1227</v>
      </c>
      <c r="C80" s="341"/>
      <c r="D80" s="302">
        <v>10</v>
      </c>
      <c r="E80" s="302">
        <v>10</v>
      </c>
      <c r="F80" s="277">
        <v>1.127</v>
      </c>
      <c r="G80" s="303"/>
      <c r="H80" s="302">
        <v>1</v>
      </c>
      <c r="I80" s="304">
        <f t="shared" si="28"/>
        <v>0.42999999999999705</v>
      </c>
      <c r="J80" s="304">
        <f t="shared" si="29"/>
        <v>0</v>
      </c>
      <c r="K80" s="305">
        <f>AVERAGE(I80:J80)</f>
        <v>0.21499999999999853</v>
      </c>
      <c r="L80" s="296"/>
      <c r="M80" s="306"/>
      <c r="N80" s="307">
        <f t="shared" si="31"/>
        <v>112700</v>
      </c>
      <c r="O80" s="308">
        <f>(G80-M80)/E80*1000000</f>
        <v>0</v>
      </c>
      <c r="P80" s="309">
        <f>AVERAGE(O80)</f>
        <v>0</v>
      </c>
      <c r="Q80" s="176"/>
      <c r="R80" s="176"/>
      <c r="S80" s="176"/>
      <c r="T80" s="176"/>
      <c r="U80" s="199"/>
      <c r="V80" s="199"/>
      <c r="W80" s="199"/>
      <c r="X80" s="199"/>
      <c r="Y80" s="199"/>
      <c r="Z80" s="199"/>
      <c r="AA80" s="199"/>
      <c r="AB80" s="199"/>
      <c r="AC80" s="199"/>
      <c r="AD80" s="199"/>
      <c r="AE80" s="199"/>
      <c r="AF80" s="199"/>
      <c r="AG80" s="199"/>
      <c r="AH80" s="199"/>
      <c r="AI80" s="199"/>
      <c r="AJ80" s="199"/>
      <c r="AK80" s="199"/>
      <c r="AL80" s="199"/>
      <c r="AM80" s="176"/>
      <c r="AN80" s="176"/>
      <c r="AO80" s="176"/>
      <c r="AP80" s="176"/>
      <c r="AQ80" s="176"/>
      <c r="AR80" s="176"/>
      <c r="AS80" s="176"/>
      <c r="AT80" s="176"/>
      <c r="AU80" s="176"/>
      <c r="AV80" s="176"/>
      <c r="AW80" s="176"/>
      <c r="AX80" s="176"/>
      <c r="AY80" s="176"/>
      <c r="AZ80" s="176"/>
      <c r="BA80" s="176"/>
      <c r="BB80" s="176"/>
      <c r="BC80" s="176"/>
      <c r="BD80" s="176"/>
      <c r="BE80" s="176"/>
      <c r="BF80" s="176"/>
    </row>
    <row r="81" spans="1:58" x14ac:dyDescent="0.25">
      <c r="A81" s="300">
        <v>6</v>
      </c>
      <c r="B81" s="336">
        <v>1.1102000000000001</v>
      </c>
      <c r="C81" s="337"/>
      <c r="D81" s="302">
        <v>10</v>
      </c>
      <c r="E81" s="302">
        <v>10</v>
      </c>
      <c r="F81" s="277">
        <v>1.1146</v>
      </c>
      <c r="G81" s="303"/>
      <c r="H81" s="302">
        <v>1</v>
      </c>
      <c r="I81" s="304">
        <f>(F81-B81)*1000*H81/D81</f>
        <v>0.43999999999999595</v>
      </c>
      <c r="J81" s="304">
        <f>(G81-C81)*1000*H81/E81</f>
        <v>0</v>
      </c>
      <c r="K81" s="305">
        <f>AVERAGE(I81:J81)</f>
        <v>0.21999999999999797</v>
      </c>
      <c r="L81" s="296"/>
      <c r="M81" s="306"/>
      <c r="N81" s="307"/>
      <c r="O81" s="308"/>
      <c r="P81" s="309"/>
      <c r="Q81" s="176"/>
      <c r="R81" s="176"/>
      <c r="S81" s="176"/>
      <c r="T81" s="176"/>
      <c r="U81" s="199"/>
      <c r="V81" s="199"/>
      <c r="W81" s="199"/>
      <c r="X81" s="199"/>
      <c r="Y81" s="199"/>
      <c r="Z81" s="199"/>
      <c r="AA81" s="199"/>
      <c r="AB81" s="199"/>
      <c r="AC81" s="199"/>
      <c r="AD81" s="199"/>
      <c r="AE81" s="199"/>
      <c r="AF81" s="199"/>
      <c r="AG81" s="199"/>
      <c r="AH81" s="199"/>
      <c r="AI81" s="199"/>
      <c r="AJ81" s="199"/>
      <c r="AK81" s="199"/>
      <c r="AL81" s="293"/>
      <c r="AM81" s="176"/>
      <c r="AN81" s="176"/>
      <c r="AO81" s="176"/>
      <c r="AP81" s="176"/>
      <c r="AQ81" s="176"/>
      <c r="AR81" s="176"/>
      <c r="AS81" s="176"/>
      <c r="AT81" s="176"/>
      <c r="AU81" s="176"/>
      <c r="AV81" s="176"/>
      <c r="AW81" s="176"/>
      <c r="AX81" s="176"/>
      <c r="AY81" s="176"/>
      <c r="AZ81" s="176"/>
      <c r="BA81" s="176"/>
      <c r="BB81" s="176"/>
      <c r="BC81" s="176"/>
      <c r="BD81" s="176"/>
      <c r="BE81" s="176"/>
      <c r="BF81" s="176"/>
    </row>
    <row r="82" spans="1:58" ht="15.75" customHeight="1" thickBot="1" x14ac:dyDescent="0.3">
      <c r="A82" s="314" t="s">
        <v>104</v>
      </c>
      <c r="B82" s="340">
        <v>1.1117999999999999</v>
      </c>
      <c r="C82" s="340"/>
      <c r="D82" s="302">
        <v>10</v>
      </c>
      <c r="E82" s="302">
        <v>10</v>
      </c>
      <c r="F82" s="303">
        <v>1.1158999999999999</v>
      </c>
      <c r="G82" s="315"/>
      <c r="H82" s="302">
        <v>1</v>
      </c>
      <c r="I82" s="304">
        <f t="shared" ref="I82" si="32">(F82-B82)*1000*H82/D82</f>
        <v>0.40999999999999925</v>
      </c>
      <c r="J82" s="304">
        <f t="shared" ref="J82" si="33">(G82-C82)*1000*H82/E82</f>
        <v>0</v>
      </c>
      <c r="K82" s="305">
        <f t="shared" ref="K82" si="34">AVERAGE(I82:J82)</f>
        <v>0.20499999999999963</v>
      </c>
      <c r="L82" s="306"/>
      <c r="M82" s="316"/>
      <c r="N82" s="307">
        <f t="shared" ref="N82" si="35">(F82-L82)/E82*1000000</f>
        <v>111590</v>
      </c>
      <c r="O82" s="308">
        <f>(G82-M82)/E82*1000000</f>
        <v>0</v>
      </c>
      <c r="P82" s="309">
        <f>AVERAGE(O82)</f>
        <v>0</v>
      </c>
      <c r="Q82" s="176"/>
      <c r="R82" s="176"/>
      <c r="S82" s="176"/>
      <c r="T82" s="176"/>
      <c r="U82" s="199"/>
      <c r="V82" s="199"/>
      <c r="W82" s="199"/>
      <c r="X82" s="199"/>
      <c r="Y82" s="199"/>
      <c r="Z82" s="199"/>
      <c r="AA82" s="199"/>
      <c r="AB82" s="199"/>
      <c r="AC82" s="199"/>
      <c r="AD82" s="199"/>
      <c r="AE82" s="199"/>
      <c r="AF82" s="199"/>
      <c r="AG82" s="199"/>
      <c r="AH82" s="199"/>
      <c r="AI82" s="199"/>
      <c r="AJ82" s="199"/>
      <c r="AK82" s="199"/>
      <c r="AL82" s="293"/>
      <c r="AM82" s="176"/>
      <c r="AN82" s="176"/>
      <c r="AO82" s="176"/>
      <c r="AP82" s="176"/>
      <c r="AQ82" s="176"/>
      <c r="AR82" s="176"/>
      <c r="AS82" s="176"/>
      <c r="AT82" s="176"/>
      <c r="AU82" s="176"/>
      <c r="AV82" s="176"/>
      <c r="AW82" s="176"/>
      <c r="AX82" s="176"/>
      <c r="AY82" s="176"/>
      <c r="AZ82" s="176"/>
      <c r="BA82" s="176"/>
      <c r="BB82" s="176"/>
      <c r="BC82" s="176"/>
      <c r="BD82" s="176"/>
      <c r="BE82" s="176"/>
      <c r="BF82" s="176"/>
    </row>
    <row r="83" spans="1:58" x14ac:dyDescent="0.25">
      <c r="A83" s="318" t="s">
        <v>107</v>
      </c>
      <c r="B83" s="319"/>
      <c r="C83" s="319"/>
      <c r="D83" s="319"/>
      <c r="E83" s="319"/>
      <c r="F83" s="319"/>
      <c r="G83" s="319"/>
      <c r="H83" s="319"/>
      <c r="I83" s="319"/>
      <c r="J83" s="319"/>
      <c r="K83" s="319"/>
      <c r="L83" s="319"/>
      <c r="M83" s="319"/>
      <c r="N83" s="319"/>
      <c r="O83" s="320"/>
      <c r="P83" s="176"/>
      <c r="Q83" s="176"/>
      <c r="R83" s="176"/>
      <c r="S83" s="176"/>
      <c r="T83" s="176"/>
      <c r="U83" s="199"/>
      <c r="V83" s="199"/>
      <c r="W83" s="199"/>
      <c r="X83" s="199"/>
      <c r="Y83" s="199"/>
      <c r="Z83" s="199"/>
      <c r="AA83" s="199"/>
      <c r="AB83" s="199"/>
      <c r="AC83" s="199"/>
      <c r="AD83" s="199"/>
      <c r="AE83" s="199"/>
      <c r="AF83" s="199"/>
      <c r="AG83" s="199"/>
      <c r="AH83" s="199"/>
      <c r="AI83" s="199"/>
      <c r="AJ83" s="199"/>
      <c r="AK83" s="199"/>
      <c r="AL83" s="199"/>
      <c r="AM83" s="176"/>
      <c r="AN83" s="176"/>
      <c r="AO83" s="176"/>
      <c r="AP83" s="176"/>
      <c r="AQ83" s="176"/>
      <c r="AR83" s="176"/>
      <c r="AS83" s="176"/>
      <c r="AT83" s="176"/>
      <c r="AU83" s="176"/>
      <c r="AV83" s="176"/>
      <c r="AW83" s="176"/>
      <c r="AX83" s="176"/>
      <c r="AY83" s="176"/>
      <c r="AZ83" s="176"/>
      <c r="BA83" s="176"/>
      <c r="BB83" s="176"/>
      <c r="BC83" s="176"/>
      <c r="BD83" s="176"/>
      <c r="BE83" s="176"/>
      <c r="BF83" s="176"/>
    </row>
    <row r="84" spans="1:58" x14ac:dyDescent="0.25">
      <c r="A84" s="271" t="s">
        <v>84</v>
      </c>
      <c r="B84" s="272" t="s">
        <v>176</v>
      </c>
      <c r="C84" s="272" t="s">
        <v>109</v>
      </c>
      <c r="D84" s="272" t="s">
        <v>177</v>
      </c>
      <c r="E84" s="272" t="s">
        <v>111</v>
      </c>
      <c r="F84" s="272" t="s">
        <v>178</v>
      </c>
      <c r="G84" s="272" t="s">
        <v>90</v>
      </c>
      <c r="H84" s="272" t="s">
        <v>112</v>
      </c>
      <c r="I84" s="272" t="s">
        <v>113</v>
      </c>
      <c r="J84" s="272" t="s">
        <v>114</v>
      </c>
      <c r="K84" s="272" t="s">
        <v>95</v>
      </c>
      <c r="L84" s="272"/>
      <c r="M84" s="272" t="s">
        <v>115</v>
      </c>
      <c r="N84" s="272" t="s">
        <v>116</v>
      </c>
      <c r="O84" s="335" t="s">
        <v>117</v>
      </c>
      <c r="P84" s="176"/>
      <c r="Q84" s="176"/>
      <c r="R84" s="176"/>
      <c r="S84" s="176"/>
      <c r="T84" s="176"/>
      <c r="U84" s="199"/>
      <c r="V84" s="199"/>
      <c r="W84" s="199"/>
      <c r="X84" s="199"/>
      <c r="Y84" s="199"/>
      <c r="Z84" s="199"/>
      <c r="AA84" s="199"/>
      <c r="AB84" s="199"/>
      <c r="AC84" s="199"/>
      <c r="AD84" s="199"/>
      <c r="AE84" s="199"/>
      <c r="AF84" s="199"/>
      <c r="AG84" s="199"/>
      <c r="AH84" s="199"/>
      <c r="AI84" s="199"/>
      <c r="AJ84" s="199"/>
      <c r="AK84" s="199"/>
      <c r="AL84" s="293"/>
      <c r="AM84" s="176"/>
      <c r="AN84" s="176"/>
      <c r="AO84" s="176"/>
      <c r="AP84" s="176"/>
      <c r="AQ84" s="176"/>
      <c r="AR84" s="176"/>
      <c r="AS84" s="176"/>
      <c r="AT84" s="176"/>
      <c r="AU84" s="176"/>
      <c r="AV84" s="176"/>
      <c r="AW84" s="176"/>
      <c r="AX84" s="176"/>
      <c r="AY84" s="176"/>
      <c r="AZ84" s="176"/>
      <c r="BA84" s="176"/>
      <c r="BB84" s="176"/>
      <c r="BC84" s="176"/>
      <c r="BD84" s="176"/>
      <c r="BE84" s="176"/>
      <c r="BF84" s="176"/>
    </row>
    <row r="85" spans="1:58" x14ac:dyDescent="0.25">
      <c r="A85" s="300">
        <v>1</v>
      </c>
      <c r="B85" s="342">
        <v>1.0044999999999999</v>
      </c>
      <c r="C85" s="342"/>
      <c r="D85" s="342">
        <v>5.7394999999999996</v>
      </c>
      <c r="E85" s="312"/>
      <c r="F85" s="301">
        <v>2.5198999999999998</v>
      </c>
      <c r="G85" s="301"/>
      <c r="H85" s="258">
        <f t="shared" ref="H85:I92" si="36">(F85-B85)*100/(D85-B85)</f>
        <v>32.004223864836327</v>
      </c>
      <c r="I85" s="258" t="e">
        <f t="shared" si="36"/>
        <v>#DIV/0!</v>
      </c>
      <c r="J85" s="321" t="e">
        <f>AVERAGE(H85:I85)</f>
        <v>#DIV/0!</v>
      </c>
      <c r="K85" s="306"/>
      <c r="L85" s="306"/>
      <c r="M85" s="321">
        <f t="shared" ref="M85:N87" si="37">((F85-K85)/D85)*100</f>
        <v>43.904521299764788</v>
      </c>
      <c r="N85" s="322" t="e">
        <f t="shared" si="37"/>
        <v>#DIV/0!</v>
      </c>
      <c r="O85" s="323" t="e">
        <f t="shared" ref="O85:O92" si="38">AVERAGE(M85:N85)</f>
        <v>#DIV/0!</v>
      </c>
      <c r="P85" s="176"/>
      <c r="Q85" s="176"/>
      <c r="R85" s="176"/>
      <c r="S85" s="176"/>
      <c r="T85" s="176"/>
      <c r="U85" s="199"/>
      <c r="V85" s="199"/>
      <c r="W85" s="199"/>
      <c r="X85" s="199"/>
      <c r="Y85" s="199"/>
      <c r="Z85" s="199"/>
      <c r="AA85" s="199"/>
      <c r="AB85" s="199"/>
      <c r="AC85" s="199"/>
      <c r="AD85" s="199"/>
      <c r="AE85" s="199"/>
      <c r="AF85" s="199"/>
      <c r="AG85" s="199"/>
      <c r="AH85" s="199"/>
      <c r="AI85" s="199"/>
      <c r="AJ85" s="199"/>
      <c r="AK85" s="199"/>
      <c r="AL85" s="199"/>
      <c r="AM85" s="176"/>
      <c r="AN85" s="176"/>
      <c r="AO85" s="176"/>
      <c r="AP85" s="176"/>
      <c r="AQ85" s="176"/>
      <c r="AR85" s="176"/>
      <c r="AS85" s="176"/>
      <c r="AT85" s="176"/>
      <c r="AU85" s="176"/>
      <c r="AV85" s="176"/>
      <c r="AW85" s="176"/>
      <c r="AX85" s="176"/>
      <c r="AY85" s="176"/>
      <c r="AZ85" s="176"/>
      <c r="BA85" s="176"/>
      <c r="BB85" s="176"/>
      <c r="BC85" s="176"/>
      <c r="BD85" s="176"/>
      <c r="BE85" s="176"/>
      <c r="BF85" s="176"/>
    </row>
    <row r="86" spans="1:58" x14ac:dyDescent="0.25">
      <c r="A86" s="300">
        <v>2</v>
      </c>
      <c r="B86" s="342">
        <v>0.99850000000000005</v>
      </c>
      <c r="C86" s="342"/>
      <c r="D86" s="342">
        <v>6.43</v>
      </c>
      <c r="E86" s="312"/>
      <c r="F86" s="301">
        <v>2.7648999999999999</v>
      </c>
      <c r="G86" s="301"/>
      <c r="H86" s="258">
        <f t="shared" si="36"/>
        <v>32.521402927368129</v>
      </c>
      <c r="I86" s="258" t="e">
        <f t="shared" si="36"/>
        <v>#DIV/0!</v>
      </c>
      <c r="J86" s="321" t="e">
        <f>AVERAGE(H86:I86)</f>
        <v>#DIV/0!</v>
      </c>
      <c r="K86" s="306"/>
      <c r="L86" s="306"/>
      <c r="M86" s="321">
        <f t="shared" si="37"/>
        <v>43</v>
      </c>
      <c r="N86" s="322" t="e">
        <f t="shared" si="37"/>
        <v>#DIV/0!</v>
      </c>
      <c r="O86" s="323" t="e">
        <f t="shared" si="38"/>
        <v>#DIV/0!</v>
      </c>
      <c r="P86" s="176"/>
      <c r="Q86" s="176"/>
      <c r="R86" s="176"/>
      <c r="S86" s="176"/>
      <c r="T86" s="176"/>
      <c r="U86" s="199"/>
      <c r="V86" s="199"/>
      <c r="W86" s="199"/>
      <c r="X86" s="199"/>
      <c r="Y86" s="199"/>
      <c r="Z86" s="199"/>
      <c r="AA86" s="199"/>
      <c r="AB86" s="199"/>
      <c r="AC86" s="199"/>
      <c r="AD86" s="199"/>
      <c r="AE86" s="199"/>
      <c r="AF86" s="199"/>
      <c r="AG86" s="199"/>
      <c r="AH86" s="199"/>
      <c r="AI86" s="199"/>
      <c r="AJ86" s="199"/>
      <c r="AK86" s="199"/>
      <c r="AL86" s="199"/>
      <c r="AM86" s="176"/>
      <c r="AN86" s="176"/>
      <c r="AO86" s="176"/>
      <c r="AP86" s="176"/>
      <c r="AQ86" s="176"/>
      <c r="AR86" s="176"/>
      <c r="AS86" s="176"/>
      <c r="AT86" s="176"/>
      <c r="AU86" s="176"/>
      <c r="AV86" s="176"/>
      <c r="AW86" s="176"/>
      <c r="AX86" s="176"/>
      <c r="AY86" s="176"/>
      <c r="AZ86" s="176"/>
      <c r="BA86" s="176"/>
      <c r="BB86" s="176"/>
      <c r="BC86" s="176"/>
      <c r="BD86" s="176"/>
      <c r="BE86" s="176"/>
      <c r="BF86" s="176"/>
    </row>
    <row r="87" spans="1:58" x14ac:dyDescent="0.25">
      <c r="A87" s="300">
        <v>3</v>
      </c>
      <c r="B87" s="342">
        <v>0.98680000000000001</v>
      </c>
      <c r="C87" s="342"/>
      <c r="D87" s="342">
        <v>6.2088000000000001</v>
      </c>
      <c r="E87" s="325"/>
      <c r="F87" s="301">
        <v>2.6385999999999998</v>
      </c>
      <c r="G87" s="311"/>
      <c r="H87" s="258">
        <f t="shared" si="36"/>
        <v>31.631558789735728</v>
      </c>
      <c r="I87" s="258" t="e">
        <f t="shared" si="36"/>
        <v>#DIV/0!</v>
      </c>
      <c r="J87" s="321" t="e">
        <f>AVERAGE(I87)</f>
        <v>#DIV/0!</v>
      </c>
      <c r="K87" s="306"/>
      <c r="L87" s="306"/>
      <c r="M87" s="321">
        <f t="shared" si="37"/>
        <v>42.497745135936086</v>
      </c>
      <c r="N87" s="321" t="e">
        <f t="shared" si="37"/>
        <v>#DIV/0!</v>
      </c>
      <c r="O87" s="323" t="e">
        <f t="shared" si="38"/>
        <v>#DIV/0!</v>
      </c>
      <c r="P87" s="176"/>
      <c r="Q87" s="176"/>
      <c r="R87" s="176"/>
      <c r="S87" s="176"/>
      <c r="T87" s="176"/>
      <c r="U87" s="199"/>
      <c r="V87" s="199"/>
      <c r="W87" s="199"/>
      <c r="X87" s="199"/>
      <c r="Y87" s="199"/>
      <c r="Z87" s="199"/>
      <c r="AA87" s="199"/>
      <c r="AB87" s="199"/>
      <c r="AC87" s="199"/>
      <c r="AD87" s="199"/>
      <c r="AE87" s="199"/>
      <c r="AF87" s="199"/>
      <c r="AG87" s="199"/>
      <c r="AH87" s="199"/>
      <c r="AI87" s="199"/>
      <c r="AJ87" s="199"/>
      <c r="AK87" s="199"/>
      <c r="AL87" s="293"/>
      <c r="AM87" s="176"/>
      <c r="AN87" s="176"/>
      <c r="AO87" s="176"/>
      <c r="AP87" s="176"/>
      <c r="AQ87" s="176"/>
      <c r="AR87" s="176"/>
      <c r="AS87" s="176"/>
      <c r="AT87" s="176"/>
      <c r="AU87" s="176"/>
      <c r="AV87" s="176"/>
      <c r="AW87" s="176"/>
      <c r="AX87" s="176"/>
      <c r="AY87" s="176"/>
      <c r="AZ87" s="176"/>
      <c r="BA87" s="176"/>
      <c r="BB87" s="176"/>
      <c r="BC87" s="176"/>
      <c r="BD87" s="176"/>
      <c r="BE87" s="176"/>
      <c r="BF87" s="176"/>
    </row>
    <row r="88" spans="1:58" x14ac:dyDescent="0.25">
      <c r="A88" s="300">
        <v>4</v>
      </c>
      <c r="B88" s="342">
        <v>1.0212000000000001</v>
      </c>
      <c r="C88" s="342"/>
      <c r="D88" s="342">
        <v>6.4198000000000004</v>
      </c>
      <c r="E88" s="325"/>
      <c r="F88" s="301">
        <v>2.7313000000000001</v>
      </c>
      <c r="G88" s="311"/>
      <c r="H88" s="258">
        <f t="shared" si="36"/>
        <v>31.676731004334457</v>
      </c>
      <c r="I88" s="258" t="e">
        <f>(G88-C89)*100/(E88-C89)</f>
        <v>#DIV/0!</v>
      </c>
      <c r="J88" s="321" t="e">
        <f t="shared" ref="J88:J89" si="39">AVERAGE(H88:I88)</f>
        <v>#DIV/0!</v>
      </c>
      <c r="K88" s="306"/>
      <c r="L88" s="306"/>
      <c r="M88" s="321" t="e">
        <f>((F88-K88)/#REF!)*100</f>
        <v>#REF!</v>
      </c>
      <c r="N88" s="322" t="e">
        <f>((G88-L88)/E87)*100</f>
        <v>#DIV/0!</v>
      </c>
      <c r="O88" s="323" t="e">
        <f t="shared" si="38"/>
        <v>#REF!</v>
      </c>
      <c r="P88" s="176"/>
      <c r="Q88" s="176"/>
      <c r="R88" s="176"/>
      <c r="S88" s="176"/>
      <c r="T88" s="176"/>
      <c r="U88" s="199"/>
      <c r="V88" s="199"/>
      <c r="W88" s="199"/>
      <c r="X88" s="199"/>
      <c r="Y88" s="199"/>
      <c r="Z88" s="199"/>
      <c r="AA88" s="199"/>
      <c r="AB88" s="199"/>
      <c r="AC88" s="199"/>
      <c r="AD88" s="199"/>
      <c r="AE88" s="199"/>
      <c r="AF88" s="199"/>
      <c r="AG88" s="199"/>
      <c r="AH88" s="199"/>
      <c r="AI88" s="199"/>
      <c r="AJ88" s="199"/>
      <c r="AK88" s="199"/>
      <c r="AL88" s="199"/>
      <c r="AM88" s="176"/>
      <c r="AN88" s="176"/>
      <c r="AO88" s="176"/>
      <c r="AP88" s="176"/>
      <c r="AQ88" s="176"/>
      <c r="AR88" s="176"/>
      <c r="AS88" s="176"/>
      <c r="AT88" s="176"/>
      <c r="AU88" s="176"/>
      <c r="AV88" s="176"/>
      <c r="AW88" s="176"/>
      <c r="AX88" s="176"/>
      <c r="AY88" s="176"/>
      <c r="AZ88" s="176"/>
      <c r="BA88" s="176"/>
      <c r="BB88" s="176"/>
      <c r="BC88" s="176"/>
      <c r="BD88" s="176"/>
      <c r="BE88" s="176"/>
      <c r="BF88" s="176"/>
    </row>
    <row r="89" spans="1:58" x14ac:dyDescent="0.25">
      <c r="A89" s="300">
        <v>5</v>
      </c>
      <c r="B89" s="342">
        <v>1.004</v>
      </c>
      <c r="C89" s="342"/>
      <c r="D89" s="342">
        <v>5.8711000000000002</v>
      </c>
      <c r="E89" s="325"/>
      <c r="F89" s="301">
        <v>2.5495000000000001</v>
      </c>
      <c r="G89" s="311"/>
      <c r="H89" s="258">
        <f t="shared" si="36"/>
        <v>31.754021902159394</v>
      </c>
      <c r="I89" s="258" t="e">
        <f>(G89-#REF!)*100/(E89-#REF!)</f>
        <v>#REF!</v>
      </c>
      <c r="J89" s="321" t="e">
        <f t="shared" si="39"/>
        <v>#REF!</v>
      </c>
      <c r="K89" s="306"/>
      <c r="L89" s="306"/>
      <c r="M89" s="321" t="e">
        <f>((F89-K89)/#REF!)*100</f>
        <v>#REF!</v>
      </c>
      <c r="N89" s="322" t="e">
        <f>((G89-L89)/E89)*100</f>
        <v>#DIV/0!</v>
      </c>
      <c r="O89" s="323" t="e">
        <f t="shared" si="38"/>
        <v>#REF!</v>
      </c>
      <c r="P89" s="176"/>
      <c r="Q89" s="176"/>
      <c r="R89" s="176"/>
      <c r="S89" s="176"/>
      <c r="T89" s="176"/>
      <c r="U89" s="199"/>
      <c r="V89" s="199"/>
      <c r="W89" s="199"/>
      <c r="X89" s="199"/>
      <c r="Y89" s="199"/>
      <c r="Z89" s="199"/>
      <c r="AA89" s="199"/>
      <c r="AB89" s="199"/>
      <c r="AC89" s="199"/>
      <c r="AD89" s="199"/>
      <c r="AE89" s="199"/>
      <c r="AF89" s="199"/>
      <c r="AG89" s="199"/>
      <c r="AH89" s="199"/>
      <c r="AI89" s="199"/>
      <c r="AJ89" s="199"/>
      <c r="AK89" s="199"/>
      <c r="AL89" s="293"/>
      <c r="AM89" s="176"/>
      <c r="AN89" s="176"/>
      <c r="AO89" s="176"/>
      <c r="AP89" s="176"/>
      <c r="AQ89" s="176"/>
      <c r="AR89" s="176"/>
      <c r="AS89" s="176"/>
      <c r="AT89" s="176"/>
      <c r="AU89" s="176"/>
      <c r="AV89" s="176"/>
      <c r="AW89" s="176"/>
      <c r="AX89" s="176"/>
      <c r="AY89" s="176"/>
      <c r="AZ89" s="176"/>
      <c r="BA89" s="176"/>
      <c r="BB89" s="176"/>
      <c r="BC89" s="176"/>
      <c r="BD89" s="176"/>
      <c r="BE89" s="176"/>
      <c r="BF89" s="176"/>
    </row>
    <row r="90" spans="1:58" x14ac:dyDescent="0.25">
      <c r="A90" s="300">
        <v>6</v>
      </c>
      <c r="B90" s="342">
        <v>1.0018</v>
      </c>
      <c r="C90" s="342"/>
      <c r="D90" s="342">
        <v>7.5157999999999996</v>
      </c>
      <c r="E90" s="312"/>
      <c r="F90" s="301">
        <v>3.1259000000000001</v>
      </c>
      <c r="G90" s="301"/>
      <c r="H90" s="258">
        <f>(F90-B90)*100/(D90-B90)</f>
        <v>32.608228431071545</v>
      </c>
      <c r="I90" s="258" t="e">
        <f>(G90-#REF!)*100/(E90-#REF!)</f>
        <v>#REF!</v>
      </c>
      <c r="J90" s="321" t="e">
        <f>AVERAGE(H90:I90)</f>
        <v>#REF!</v>
      </c>
      <c r="K90" s="306"/>
      <c r="L90" s="306"/>
      <c r="M90" s="321"/>
      <c r="N90" s="322"/>
      <c r="O90" s="323"/>
      <c r="P90" s="176"/>
      <c r="Q90" s="176"/>
      <c r="R90" s="176"/>
      <c r="S90" s="176"/>
      <c r="T90" s="176"/>
      <c r="U90" s="199"/>
      <c r="V90" s="199"/>
      <c r="W90" s="199"/>
      <c r="X90" s="199"/>
      <c r="Y90" s="199"/>
      <c r="Z90" s="199"/>
      <c r="AA90" s="199"/>
      <c r="AB90" s="199"/>
      <c r="AC90" s="199"/>
      <c r="AD90" s="199"/>
      <c r="AE90" s="199"/>
      <c r="AF90" s="199"/>
      <c r="AG90" s="199"/>
      <c r="AH90" s="199"/>
      <c r="AI90" s="199"/>
      <c r="AJ90" s="199"/>
      <c r="AK90" s="199"/>
      <c r="AL90" s="199"/>
      <c r="AM90" s="176"/>
      <c r="AN90" s="176"/>
      <c r="AO90" s="176"/>
      <c r="AP90" s="176"/>
      <c r="AQ90" s="176"/>
      <c r="AR90" s="176"/>
      <c r="AS90" s="176"/>
      <c r="AT90" s="176"/>
      <c r="AU90" s="176"/>
      <c r="AV90" s="176"/>
      <c r="AW90" s="176"/>
      <c r="AX90" s="176"/>
      <c r="AY90" s="176"/>
      <c r="AZ90" s="176"/>
      <c r="BA90" s="176"/>
      <c r="BB90" s="176"/>
      <c r="BC90" s="176"/>
      <c r="BD90" s="176"/>
      <c r="BE90" s="176"/>
      <c r="BF90" s="176"/>
    </row>
    <row r="91" spans="1:58" x14ac:dyDescent="0.25">
      <c r="A91" s="326" t="s">
        <v>118</v>
      </c>
      <c r="B91" s="343">
        <v>0.99129999999999996</v>
      </c>
      <c r="C91" s="343"/>
      <c r="D91" s="343">
        <v>5.0174000000000003</v>
      </c>
      <c r="E91" s="301"/>
      <c r="F91" s="301">
        <v>2.2277</v>
      </c>
      <c r="G91" s="301"/>
      <c r="H91" s="258">
        <f t="shared" si="36"/>
        <v>30.709619731253571</v>
      </c>
      <c r="I91" s="258" t="e">
        <f t="shared" si="36"/>
        <v>#DIV/0!</v>
      </c>
      <c r="J91" s="321" t="e">
        <f t="shared" ref="J91:J92" si="40">AVERAGE(H91:I91)</f>
        <v>#DIV/0!</v>
      </c>
      <c r="K91" s="306"/>
      <c r="L91" s="327"/>
      <c r="M91" s="321">
        <f>((F91-K91)/D91)*100</f>
        <v>44.399489775580975</v>
      </c>
      <c r="N91" s="322" t="e">
        <f>((G91-L91)/E91)*100</f>
        <v>#DIV/0!</v>
      </c>
      <c r="O91" s="323" t="e">
        <f t="shared" si="38"/>
        <v>#DIV/0!</v>
      </c>
      <c r="P91" s="176"/>
      <c r="Q91" s="176"/>
      <c r="R91" s="176"/>
      <c r="S91" s="176"/>
      <c r="T91" s="176"/>
      <c r="U91" s="199"/>
      <c r="V91" s="199"/>
      <c r="W91" s="199"/>
      <c r="X91" s="199"/>
      <c r="Y91" s="199"/>
      <c r="Z91" s="199"/>
      <c r="AA91" s="199"/>
      <c r="AB91" s="199"/>
      <c r="AC91" s="199"/>
      <c r="AD91" s="199"/>
      <c r="AE91" s="199"/>
      <c r="AF91" s="199"/>
      <c r="AG91" s="199"/>
      <c r="AH91" s="199"/>
      <c r="AI91" s="199"/>
      <c r="AJ91" s="199"/>
      <c r="AK91" s="199"/>
      <c r="AL91" s="199"/>
      <c r="AM91" s="176"/>
      <c r="AN91" s="176"/>
      <c r="AO91" s="176"/>
      <c r="AP91" s="176"/>
      <c r="AQ91" s="176"/>
      <c r="AR91" s="176"/>
      <c r="AS91" s="176"/>
      <c r="AT91" s="176"/>
      <c r="AU91" s="176"/>
      <c r="AV91" s="176"/>
      <c r="AW91" s="176"/>
      <c r="AX91" s="176"/>
      <c r="AY91" s="176"/>
      <c r="AZ91" s="176"/>
      <c r="BA91" s="176"/>
      <c r="BB91" s="176"/>
      <c r="BC91" s="176"/>
      <c r="BD91" s="176"/>
      <c r="BE91" s="176"/>
      <c r="BF91" s="176"/>
    </row>
    <row r="92" spans="1:58" x14ac:dyDescent="0.25">
      <c r="A92" s="344" t="s">
        <v>119</v>
      </c>
      <c r="B92" s="301">
        <v>0.99719999999999998</v>
      </c>
      <c r="C92" s="301"/>
      <c r="D92" s="301">
        <v>10.212199999999999</v>
      </c>
      <c r="E92" s="301"/>
      <c r="F92" s="301">
        <v>1.3160000000000001</v>
      </c>
      <c r="G92" s="301"/>
      <c r="H92" s="345">
        <f t="shared" si="36"/>
        <v>3.4595767769940324</v>
      </c>
      <c r="I92" s="345" t="e">
        <f t="shared" si="36"/>
        <v>#DIV/0!</v>
      </c>
      <c r="J92" s="346" t="e">
        <f t="shared" si="40"/>
        <v>#DIV/0!</v>
      </c>
      <c r="K92" s="347">
        <v>1.1080000000000001</v>
      </c>
      <c r="L92" s="347"/>
      <c r="M92" s="346">
        <f>((F92-K92)/D92)*100</f>
        <v>2.0367795381994083</v>
      </c>
      <c r="N92" s="348" t="e">
        <f>((G92-L92)/E92)*100</f>
        <v>#DIV/0!</v>
      </c>
      <c r="O92" s="349" t="e">
        <f t="shared" si="38"/>
        <v>#DIV/0!</v>
      </c>
      <c r="P92" s="176"/>
      <c r="Q92" s="176"/>
      <c r="R92" s="176"/>
      <c r="S92" s="176"/>
      <c r="T92" s="176"/>
      <c r="U92" s="199"/>
      <c r="V92" s="199"/>
      <c r="W92" s="199"/>
      <c r="X92" s="199"/>
      <c r="Y92" s="199"/>
      <c r="Z92" s="199"/>
      <c r="AA92" s="199"/>
      <c r="AB92" s="199"/>
      <c r="AC92" s="199"/>
      <c r="AD92" s="199"/>
      <c r="AE92" s="199"/>
      <c r="AF92" s="199"/>
      <c r="AG92" s="199"/>
      <c r="AH92" s="199"/>
      <c r="AI92" s="199"/>
      <c r="AJ92" s="199"/>
      <c r="AK92" s="199"/>
      <c r="AL92" s="293"/>
      <c r="AM92" s="176"/>
      <c r="AN92" s="176"/>
      <c r="AO92" s="176"/>
      <c r="AP92" s="176"/>
      <c r="AQ92" s="176"/>
      <c r="AR92" s="176"/>
      <c r="AS92" s="176"/>
      <c r="AT92" s="176"/>
      <c r="AU92" s="176"/>
      <c r="AV92" s="176"/>
      <c r="AW92" s="176"/>
      <c r="AX92" s="176"/>
      <c r="AY92" s="176"/>
      <c r="AZ92" s="176"/>
      <c r="BA92" s="176"/>
      <c r="BB92" s="176"/>
      <c r="BC92" s="176"/>
      <c r="BD92" s="176"/>
      <c r="BE92" s="176"/>
      <c r="BF92" s="176"/>
    </row>
    <row r="93" spans="1:58" x14ac:dyDescent="0.25">
      <c r="A93" s="176"/>
      <c r="B93" s="176"/>
      <c r="C93" s="358"/>
      <c r="D93" s="358"/>
      <c r="E93" s="358"/>
      <c r="F93" s="358"/>
      <c r="G93" s="358"/>
      <c r="H93" s="358"/>
      <c r="I93" s="358"/>
      <c r="J93" s="358"/>
      <c r="K93" s="358"/>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row>
    <row r="94" spans="1:58" x14ac:dyDescent="0.25">
      <c r="A94" s="176"/>
      <c r="B94" s="176"/>
      <c r="C94" s="358" t="s">
        <v>179</v>
      </c>
      <c r="D94" s="358"/>
      <c r="E94" s="358"/>
      <c r="F94" s="358"/>
      <c r="G94" s="358"/>
      <c r="H94" s="358"/>
      <c r="I94" s="358"/>
      <c r="J94" s="358"/>
      <c r="K94" s="358"/>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row>
    <row r="95" spans="1:58" ht="16.5" thickBot="1" x14ac:dyDescent="0.3">
      <c r="A95" s="176"/>
      <c r="B95" s="176"/>
      <c r="C95" s="358"/>
      <c r="D95" s="358"/>
      <c r="E95" s="358"/>
      <c r="F95" s="358"/>
      <c r="G95" s="358"/>
      <c r="H95" s="358"/>
      <c r="I95" s="358"/>
      <c r="J95" s="358"/>
      <c r="K95" s="358"/>
      <c r="L95" s="176" t="s">
        <v>173</v>
      </c>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row>
    <row r="96" spans="1:58" s="377" customFormat="1" ht="99" customHeight="1" thickBot="1" x14ac:dyDescent="0.3">
      <c r="A96" s="359" t="s">
        <v>64</v>
      </c>
      <c r="B96" s="360" t="s">
        <v>120</v>
      </c>
      <c r="C96" s="360" t="s">
        <v>121</v>
      </c>
      <c r="D96" s="361" t="s">
        <v>122</v>
      </c>
      <c r="E96" s="362" t="s">
        <v>123</v>
      </c>
      <c r="F96" s="363" t="s">
        <v>124</v>
      </c>
      <c r="G96" s="364" t="s">
        <v>125</v>
      </c>
      <c r="H96" s="361" t="s">
        <v>126</v>
      </c>
      <c r="I96" s="365" t="s">
        <v>127</v>
      </c>
      <c r="J96" s="366" t="s">
        <v>128</v>
      </c>
      <c r="K96" s="366" t="s">
        <v>129</v>
      </c>
      <c r="L96" s="366" t="s">
        <v>130</v>
      </c>
      <c r="M96" s="367" t="s">
        <v>128</v>
      </c>
      <c r="N96" s="367" t="s">
        <v>129</v>
      </c>
      <c r="O96" s="367" t="s">
        <v>130</v>
      </c>
      <c r="P96" s="367" t="s">
        <v>131</v>
      </c>
      <c r="Q96" s="368" t="s">
        <v>132</v>
      </c>
      <c r="R96" s="369" t="s">
        <v>124</v>
      </c>
      <c r="S96" s="370" t="s">
        <v>125</v>
      </c>
      <c r="T96" s="370" t="s">
        <v>126</v>
      </c>
      <c r="U96" s="370" t="s">
        <v>127</v>
      </c>
      <c r="V96" s="370" t="s">
        <v>128</v>
      </c>
      <c r="W96" s="370" t="s">
        <v>129</v>
      </c>
      <c r="X96" s="370" t="s">
        <v>130</v>
      </c>
      <c r="Y96" s="371" t="s">
        <v>128</v>
      </c>
      <c r="Z96" s="371" t="s">
        <v>129</v>
      </c>
      <c r="AA96" s="371" t="s">
        <v>130</v>
      </c>
      <c r="AB96" s="372" t="s">
        <v>131</v>
      </c>
      <c r="AC96" s="480" t="s">
        <v>198</v>
      </c>
      <c r="AD96" s="481" t="s">
        <v>199</v>
      </c>
      <c r="AE96" s="481" t="s">
        <v>200</v>
      </c>
      <c r="AF96" s="481" t="s">
        <v>201</v>
      </c>
      <c r="AG96" s="481" t="s">
        <v>134</v>
      </c>
      <c r="AH96" s="481" t="s">
        <v>135</v>
      </c>
      <c r="AI96" s="361" t="s">
        <v>136</v>
      </c>
      <c r="AJ96" s="361" t="s">
        <v>137</v>
      </c>
      <c r="AK96" s="361" t="s">
        <v>138</v>
      </c>
      <c r="AL96" s="361" t="s">
        <v>139</v>
      </c>
      <c r="AM96" s="361" t="s">
        <v>140</v>
      </c>
      <c r="AN96" s="373" t="s">
        <v>180</v>
      </c>
      <c r="AO96" s="373" t="s">
        <v>181</v>
      </c>
      <c r="AP96" s="374" t="s">
        <v>182</v>
      </c>
      <c r="AQ96" s="373" t="s">
        <v>141</v>
      </c>
      <c r="AR96" s="375" t="s">
        <v>142</v>
      </c>
      <c r="AS96" s="363" t="s">
        <v>143</v>
      </c>
      <c r="AT96" s="361" t="s">
        <v>144</v>
      </c>
      <c r="AU96" s="361" t="s">
        <v>145</v>
      </c>
      <c r="AV96" s="361" t="s">
        <v>146</v>
      </c>
      <c r="AW96" s="375"/>
      <c r="AX96" s="376" t="s">
        <v>183</v>
      </c>
      <c r="AY96" s="376" t="s">
        <v>184</v>
      </c>
    </row>
    <row r="97" spans="1:51" s="401" customFormat="1" x14ac:dyDescent="0.25">
      <c r="A97" s="378">
        <f t="shared" ref="A97:A102" si="41">I33</f>
        <v>12.680526955622213</v>
      </c>
      <c r="B97" s="379" t="e">
        <f t="shared" ref="B97:B102" si="42">C41</f>
        <v>#DIV/0!</v>
      </c>
      <c r="C97" s="379">
        <f t="shared" ref="C97:C102" si="43">B41</f>
        <v>120.8</v>
      </c>
      <c r="D97" s="482">
        <f t="shared" ref="D97:D102" si="44">J62</f>
        <v>32.082799086115394</v>
      </c>
      <c r="E97" s="380">
        <f>K51*1000</f>
        <v>795.00000000000125</v>
      </c>
      <c r="F97" s="381" t="e">
        <f>AVERAGE(B97)</f>
        <v>#DIV/0!</v>
      </c>
      <c r="G97" s="379" t="e">
        <f t="shared" ref="G97:G102" si="45">(F97-B97)*100/F97</f>
        <v>#DIV/0!</v>
      </c>
      <c r="H97" s="379">
        <v>10</v>
      </c>
      <c r="I97" s="382"/>
      <c r="J97" s="365" t="e">
        <f>INDEX(A97:A101,MATCH(1,I97:I101,0))</f>
        <v>#N/A</v>
      </c>
      <c r="K97" s="365" t="e">
        <f>INDEX(D97:D102,MATCH(1,I98:I102,0))</f>
        <v>#N/A</v>
      </c>
      <c r="L97" s="365" t="e">
        <f>INDEX(E97:E102,MATCH(1,I98:I102,0))</f>
        <v>#N/A</v>
      </c>
      <c r="M97" s="365" t="e">
        <f>J97</f>
        <v>#N/A</v>
      </c>
      <c r="N97" s="365" t="e">
        <f>K97</f>
        <v>#N/A</v>
      </c>
      <c r="O97" s="365" t="e">
        <f>L97</f>
        <v>#N/A</v>
      </c>
      <c r="P97" s="383">
        <v>0</v>
      </c>
      <c r="Q97" s="384"/>
      <c r="R97" s="385">
        <f>AVERAGE(C97)</f>
        <v>120.8</v>
      </c>
      <c r="S97" s="386"/>
      <c r="T97" s="387"/>
      <c r="U97" s="388"/>
      <c r="V97" s="387">
        <f>INDEX(A97:A102,MATCH(1,U97:U102,0))</f>
        <v>19.316061793585558</v>
      </c>
      <c r="W97" s="387">
        <f>INDEX(D97:D101,MATCH(1,U97:U101,0))</f>
        <v>31.838845636604873</v>
      </c>
      <c r="X97" s="387">
        <f>INDEX(E97:E101,MATCH(1,U98:U101,0))</f>
        <v>640.00000000000728</v>
      </c>
      <c r="Y97" s="386">
        <f>IF(AB97=1,INDEX(A97:A101,MATCH(1,AX97:AX101,0)),V97)</f>
        <v>19.316061793585558</v>
      </c>
      <c r="Z97" s="386">
        <f>IF(AB97=1,INDEX(D97:D101,MATCH(1,AX97:AX101,0)),W97)</f>
        <v>31.838845636604873</v>
      </c>
      <c r="AA97" s="386">
        <f>IF(AB97=1,INDEX(E97:E101,MATCH(1,AX97:AX101,0)),X97)</f>
        <v>640.00000000000728</v>
      </c>
      <c r="AB97" s="389">
        <v>0</v>
      </c>
      <c r="AC97" s="483" t="str">
        <f t="shared" ref="AC97:AC103" si="46">IF(A97&lt;$V$97,"",1)</f>
        <v/>
      </c>
      <c r="AD97" s="484" t="str">
        <f t="shared" ref="AD97:AD102" si="47">IF(ISNUMBER(AC97),AC97*D97,"")</f>
        <v/>
      </c>
      <c r="AE97" s="485">
        <f>AVERAGE(INDEX(D97:D103, MATCH(1, U97:U103, 0)):D103)</f>
        <v>32.013608677734005</v>
      </c>
      <c r="AF97" s="486">
        <f t="shared" ref="AF97:AF102" si="48">IF(E97&lt;$AJ$97,(IF(D97&gt;=$AE$99,1,2)),2)</f>
        <v>1</v>
      </c>
      <c r="AG97" s="487">
        <f>INDEX(A97:A101,MATCH(2,AF97:AF101,0))</f>
        <v>15.222486798375112</v>
      </c>
      <c r="AH97" s="485">
        <f>INDEX(D97:D101,MATCH(1,AF97:AF101,0))</f>
        <v>32.082799086115394</v>
      </c>
      <c r="AI97" s="391">
        <f>INDEX(E97:E101,MATCH(1,AF97:AF101,0))</f>
        <v>795.00000000000125</v>
      </c>
      <c r="AJ97" s="392">
        <v>1000</v>
      </c>
      <c r="AK97" s="393">
        <f>IF(AND(ISNUMBER(AG97), AG97&lt;AJ97), AI97,"")</f>
        <v>795.00000000000125</v>
      </c>
      <c r="AL97" s="391"/>
      <c r="AM97" s="393">
        <f>IF((AJ97&gt;AK97),1,2)</f>
        <v>1</v>
      </c>
      <c r="AN97" s="394">
        <f>IF(AQ97=1,INDEX(A97:A101,MATCH(1,AY97:AY101,0)),AG97)</f>
        <v>15.222486798375112</v>
      </c>
      <c r="AO97" s="391">
        <f>IF(AQ97=1,INDEX(D97:D101,MATCH(1,AY97:AY101,0)),AH97)</f>
        <v>32.082799086115394</v>
      </c>
      <c r="AP97" s="391">
        <f>IF(AQ97=1,INDEX(E97:E101,MATCH(1,AY97:AY101,0)),AI97)</f>
        <v>795.00000000000125</v>
      </c>
      <c r="AQ97" s="395">
        <v>0</v>
      </c>
      <c r="AR97" s="396"/>
      <c r="AS97" s="397">
        <f>D15</f>
        <v>23.857142857142858</v>
      </c>
      <c r="AT97" s="391">
        <f>J68</f>
        <v>30.479344316278553</v>
      </c>
      <c r="AU97" s="391">
        <f>K57*1000</f>
        <v>375.00000000000313</v>
      </c>
      <c r="AV97" s="391">
        <f>J69</f>
        <v>3.5011823416828216</v>
      </c>
      <c r="AW97" s="398"/>
      <c r="AX97" s="399"/>
      <c r="AY97" s="400"/>
    </row>
    <row r="98" spans="1:51" s="401" customFormat="1" x14ac:dyDescent="0.25">
      <c r="A98" s="378">
        <f t="shared" si="41"/>
        <v>15.222486798375112</v>
      </c>
      <c r="B98" s="379" t="e">
        <f t="shared" si="42"/>
        <v>#DIV/0!</v>
      </c>
      <c r="C98" s="379">
        <f t="shared" si="43"/>
        <v>73.099999999999994</v>
      </c>
      <c r="D98" s="504">
        <v>22</v>
      </c>
      <c r="E98" s="380">
        <f t="shared" ref="E98:E102" si="49">K52*1000</f>
        <v>675.00000000000341</v>
      </c>
      <c r="F98" s="381" t="e">
        <f>AVERAGE(B97:B98)</f>
        <v>#DIV/0!</v>
      </c>
      <c r="G98" s="379" t="e">
        <f t="shared" si="45"/>
        <v>#DIV/0!</v>
      </c>
      <c r="H98" s="379">
        <v>10</v>
      </c>
      <c r="I98" s="365" t="e">
        <f>IF(AND(G97&gt;H97,G98&gt;H98),1,2)</f>
        <v>#DIV/0!</v>
      </c>
      <c r="J98" s="365"/>
      <c r="K98" s="365"/>
      <c r="L98" s="365"/>
      <c r="M98" s="382"/>
      <c r="N98" s="365"/>
      <c r="O98" s="365"/>
      <c r="P98" s="365"/>
      <c r="Q98" s="384"/>
      <c r="R98" s="385">
        <f>AVERAGE(C97:C98)</f>
        <v>96.949999999999989</v>
      </c>
      <c r="S98" s="386">
        <f>(R98-C98)*100/R98</f>
        <v>24.600309437854563</v>
      </c>
      <c r="T98" s="387">
        <v>10</v>
      </c>
      <c r="U98" s="402">
        <f>IF(AND(S98&gt;T98,S99&lt;T99),1,2)</f>
        <v>2</v>
      </c>
      <c r="V98" s="387"/>
      <c r="W98" s="387"/>
      <c r="X98" s="387"/>
      <c r="Y98" s="386"/>
      <c r="Z98" s="386"/>
      <c r="AA98" s="386"/>
      <c r="AB98" s="403"/>
      <c r="AC98" s="483" t="str">
        <f t="shared" si="46"/>
        <v/>
      </c>
      <c r="AD98" s="484" t="str">
        <f t="shared" si="47"/>
        <v/>
      </c>
      <c r="AE98" s="485">
        <f>_xlfn.STDEV.S(INDEX(D97:D103, MATCH(1, U97:U103, 0)):D103)</f>
        <v>0.33225204217756821</v>
      </c>
      <c r="AF98" s="486">
        <f t="shared" si="48"/>
        <v>2</v>
      </c>
      <c r="AG98" s="485"/>
      <c r="AH98" s="485"/>
      <c r="AI98" s="391"/>
      <c r="AJ98" s="391"/>
      <c r="AK98" s="391"/>
      <c r="AL98" s="391"/>
      <c r="AM98" s="391"/>
      <c r="AN98" s="391"/>
      <c r="AO98" s="391"/>
      <c r="AP98" s="391"/>
      <c r="AQ98" s="391"/>
      <c r="AR98" s="396"/>
      <c r="AS98" s="397"/>
      <c r="AT98" s="391"/>
      <c r="AU98" s="391"/>
      <c r="AV98" s="391"/>
      <c r="AW98" s="398"/>
      <c r="AX98" s="404"/>
      <c r="AY98" s="405">
        <v>1</v>
      </c>
    </row>
    <row r="99" spans="1:51" s="401" customFormat="1" x14ac:dyDescent="0.25">
      <c r="A99" s="378">
        <f t="shared" si="41"/>
        <v>17.210400880187535</v>
      </c>
      <c r="B99" s="379" t="e">
        <f t="shared" si="42"/>
        <v>#DIV/0!</v>
      </c>
      <c r="C99" s="379">
        <f t="shared" si="43"/>
        <v>55.9</v>
      </c>
      <c r="D99" s="482">
        <f t="shared" si="44"/>
        <v>32.333315651327894</v>
      </c>
      <c r="E99" s="380">
        <f t="shared" si="49"/>
        <v>640.00000000000728</v>
      </c>
      <c r="F99" s="381" t="e">
        <f>AVERAGE(B98:B99)</f>
        <v>#DIV/0!</v>
      </c>
      <c r="G99" s="379" t="e">
        <f t="shared" si="45"/>
        <v>#DIV/0!</v>
      </c>
      <c r="H99" s="379">
        <v>10</v>
      </c>
      <c r="I99" s="365" t="e">
        <f>IF(AND(G98&gt;H98,G99&gt;H99,G100&lt;H100),1,2)</f>
        <v>#DIV/0!</v>
      </c>
      <c r="J99" s="365"/>
      <c r="K99" s="365"/>
      <c r="L99" s="365"/>
      <c r="M99" s="365"/>
      <c r="N99" s="365"/>
      <c r="O99" s="365"/>
      <c r="P99" s="365"/>
      <c r="Q99" s="384"/>
      <c r="R99" s="385">
        <f>AVERAGE(C98:C99)</f>
        <v>64.5</v>
      </c>
      <c r="S99" s="386">
        <f>(R99-C99)*100/R99</f>
        <v>13.333333333333336</v>
      </c>
      <c r="T99" s="387">
        <v>10</v>
      </c>
      <c r="U99" s="402">
        <f>IF(AND(S99&gt;T99,S100&lt;T100),1,2)</f>
        <v>2</v>
      </c>
      <c r="V99" s="387"/>
      <c r="W99" s="387"/>
      <c r="X99" s="387"/>
      <c r="Y99" s="386"/>
      <c r="Z99" s="386"/>
      <c r="AA99" s="386"/>
      <c r="AB99" s="403"/>
      <c r="AC99" s="483" t="str">
        <f t="shared" si="46"/>
        <v/>
      </c>
      <c r="AD99" s="484" t="str">
        <f t="shared" si="47"/>
        <v/>
      </c>
      <c r="AE99" s="485">
        <f>IF(AE103&lt;10,(AE97-AE98),2)</f>
        <v>31.681356635556437</v>
      </c>
      <c r="AF99" s="486">
        <f t="shared" si="48"/>
        <v>1</v>
      </c>
      <c r="AG99" s="485"/>
      <c r="AH99" s="485"/>
      <c r="AI99" s="391"/>
      <c r="AJ99" s="391"/>
      <c r="AK99" s="391"/>
      <c r="AL99" s="391"/>
      <c r="AM99" s="391"/>
      <c r="AN99" s="391"/>
      <c r="AO99" s="391"/>
      <c r="AP99" s="391"/>
      <c r="AQ99" s="391"/>
      <c r="AR99" s="396"/>
      <c r="AS99" s="397"/>
      <c r="AT99" s="391"/>
      <c r="AU99" s="391"/>
      <c r="AV99" s="391"/>
      <c r="AW99" s="398"/>
      <c r="AX99" s="404">
        <v>1</v>
      </c>
      <c r="AY99" s="405"/>
    </row>
    <row r="100" spans="1:51" s="401" customFormat="1" x14ac:dyDescent="0.25">
      <c r="A100" s="378">
        <f t="shared" si="41"/>
        <v>19.316061793585558</v>
      </c>
      <c r="B100" s="379" t="e">
        <f t="shared" si="42"/>
        <v>#DIV/0!</v>
      </c>
      <c r="C100" s="379">
        <f t="shared" si="43"/>
        <v>45.4</v>
      </c>
      <c r="D100" s="482">
        <f t="shared" si="44"/>
        <v>31.838845636604873</v>
      </c>
      <c r="E100" s="380">
        <f t="shared" si="49"/>
        <v>550.00000000000603</v>
      </c>
      <c r="F100" s="381" t="e">
        <f>AVERAGE(B99:B100)</f>
        <v>#DIV/0!</v>
      </c>
      <c r="G100" s="379" t="e">
        <f t="shared" si="45"/>
        <v>#DIV/0!</v>
      </c>
      <c r="H100" s="379">
        <v>10</v>
      </c>
      <c r="I100" s="365" t="e">
        <f>IF(AND(G99&gt;H99,G100&gt;H100,G101&lt;H101),1,2)</f>
        <v>#DIV/0!</v>
      </c>
      <c r="J100" s="365"/>
      <c r="K100" s="365"/>
      <c r="L100" s="365"/>
      <c r="M100" s="365"/>
      <c r="N100" s="365"/>
      <c r="O100" s="365"/>
      <c r="P100" s="365"/>
      <c r="Q100" s="384"/>
      <c r="R100" s="385">
        <f>AVERAGE(C99:C100)</f>
        <v>50.65</v>
      </c>
      <c r="S100" s="386">
        <f>(R100-C100)*100/R100</f>
        <v>10.365251727541954</v>
      </c>
      <c r="T100" s="387">
        <v>10</v>
      </c>
      <c r="U100" s="402">
        <f>IF(AND(S100&gt;T100,S101&lt;T101),1,2)</f>
        <v>1</v>
      </c>
      <c r="V100" s="387"/>
      <c r="W100" s="387"/>
      <c r="X100" s="387"/>
      <c r="Y100" s="386"/>
      <c r="Z100" s="386"/>
      <c r="AA100" s="386"/>
      <c r="AB100" s="403"/>
      <c r="AC100" s="483">
        <f t="shared" si="46"/>
        <v>1</v>
      </c>
      <c r="AD100" s="484">
        <f>IF(ISNUMBER(AC100),AC100*D100,"")</f>
        <v>31.838845636604873</v>
      </c>
      <c r="AE100" s="485"/>
      <c r="AF100" s="486">
        <f t="shared" si="48"/>
        <v>1</v>
      </c>
      <c r="AG100" s="485"/>
      <c r="AH100" s="485"/>
      <c r="AI100" s="391"/>
      <c r="AJ100" s="391"/>
      <c r="AK100" s="391"/>
      <c r="AL100" s="391"/>
      <c r="AM100" s="391"/>
      <c r="AN100" s="391"/>
      <c r="AO100" s="391"/>
      <c r="AP100" s="391"/>
      <c r="AQ100" s="391"/>
      <c r="AR100" s="396"/>
      <c r="AS100" s="397"/>
      <c r="AT100" s="391"/>
      <c r="AU100" s="391"/>
      <c r="AV100" s="391"/>
      <c r="AW100" s="398"/>
      <c r="AX100" s="404"/>
      <c r="AY100" s="405"/>
    </row>
    <row r="101" spans="1:51" s="401" customFormat="1" x14ac:dyDescent="0.25">
      <c r="A101" s="378">
        <f t="shared" si="41"/>
        <v>20.796154017803566</v>
      </c>
      <c r="B101" s="379" t="e">
        <f t="shared" si="42"/>
        <v>#DIV/0!</v>
      </c>
      <c r="C101" s="379">
        <f t="shared" si="43"/>
        <v>38.1</v>
      </c>
      <c r="D101" s="482">
        <f t="shared" si="44"/>
        <v>31.805211853718319</v>
      </c>
      <c r="E101" s="380">
        <f t="shared" si="49"/>
        <v>440.00000000000705</v>
      </c>
      <c r="F101" s="381" t="e">
        <f>AVERAGE(B100:B101)</f>
        <v>#DIV/0!</v>
      </c>
      <c r="G101" s="379" t="e">
        <f t="shared" si="45"/>
        <v>#DIV/0!</v>
      </c>
      <c r="H101" s="379">
        <v>10</v>
      </c>
      <c r="I101" s="365" t="e">
        <f>IF(AND(G100&gt;H100,G101&gt;H101),1,2)</f>
        <v>#DIV/0!</v>
      </c>
      <c r="J101" s="365"/>
      <c r="K101" s="365"/>
      <c r="L101" s="365"/>
      <c r="M101" s="365"/>
      <c r="N101" s="365"/>
      <c r="O101" s="365"/>
      <c r="P101" s="365"/>
      <c r="Q101" s="384"/>
      <c r="R101" s="385">
        <f>AVERAGE(C100:C101)</f>
        <v>41.75</v>
      </c>
      <c r="S101" s="386">
        <f>(R101-C101)*100/R101</f>
        <v>8.7425149700598777</v>
      </c>
      <c r="T101" s="387">
        <v>10</v>
      </c>
      <c r="U101" s="402">
        <f>IF(AND(S101&gt;T101,S102&lt;T102),1,2)</f>
        <v>2</v>
      </c>
      <c r="V101" s="387"/>
      <c r="W101" s="387"/>
      <c r="X101" s="387"/>
      <c r="Y101" s="386"/>
      <c r="Z101" s="386"/>
      <c r="AA101" s="386"/>
      <c r="AB101" s="403"/>
      <c r="AC101" s="483">
        <f t="shared" si="46"/>
        <v>1</v>
      </c>
      <c r="AD101" s="484">
        <f t="shared" si="47"/>
        <v>31.805211853718319</v>
      </c>
      <c r="AE101" s="485"/>
      <c r="AF101" s="486">
        <f t="shared" si="48"/>
        <v>1</v>
      </c>
      <c r="AG101" s="485"/>
      <c r="AH101" s="485"/>
      <c r="AI101" s="391"/>
      <c r="AJ101" s="391"/>
      <c r="AK101" s="391"/>
      <c r="AL101" s="391"/>
      <c r="AM101" s="391"/>
      <c r="AN101" s="391"/>
      <c r="AO101" s="391"/>
      <c r="AP101" s="391"/>
      <c r="AQ101" s="391"/>
      <c r="AR101" s="396"/>
      <c r="AS101" s="397"/>
      <c r="AT101" s="391"/>
      <c r="AU101" s="391"/>
      <c r="AV101" s="391"/>
      <c r="AW101" s="398"/>
      <c r="AX101" s="404"/>
      <c r="AY101" s="405"/>
    </row>
    <row r="102" spans="1:51" s="401" customFormat="1" ht="17.45" customHeight="1" x14ac:dyDescent="0.25">
      <c r="A102" s="378">
        <f t="shared" si="41"/>
        <v>21.78639903329336</v>
      </c>
      <c r="B102" s="379">
        <f t="shared" si="42"/>
        <v>0</v>
      </c>
      <c r="C102" s="379">
        <f t="shared" si="43"/>
        <v>39.700000000000003</v>
      </c>
      <c r="D102" s="482">
        <f t="shared" si="44"/>
        <v>32.396768542878831</v>
      </c>
      <c r="E102" s="380">
        <f t="shared" si="49"/>
        <v>439.99999999999596</v>
      </c>
      <c r="F102" s="381" t="e">
        <f>AVERAGE(B101:B102)</f>
        <v>#DIV/0!</v>
      </c>
      <c r="G102" s="379" t="e">
        <f t="shared" si="45"/>
        <v>#DIV/0!</v>
      </c>
      <c r="H102" s="379">
        <v>10</v>
      </c>
      <c r="I102" s="365" t="e">
        <f>IF(AND(G101&gt;H101,G102&gt;H102),1,2)</f>
        <v>#DIV/0!</v>
      </c>
      <c r="J102" s="365"/>
      <c r="K102" s="365"/>
      <c r="L102" s="365"/>
      <c r="M102" s="365"/>
      <c r="N102" s="365"/>
      <c r="O102" s="365"/>
      <c r="P102" s="365"/>
      <c r="Q102" s="384"/>
      <c r="R102" s="385">
        <f>AVERAGE(C101:C102)</f>
        <v>38.900000000000006</v>
      </c>
      <c r="S102" s="386">
        <f>(R102-C102)*100/R102</f>
        <v>-2.0565552699228715</v>
      </c>
      <c r="T102" s="387">
        <v>10</v>
      </c>
      <c r="U102" s="402">
        <f>IF(AND(S102&gt;T102,S103&lt;T103),1,2)</f>
        <v>2</v>
      </c>
      <c r="V102" s="387"/>
      <c r="W102" s="387"/>
      <c r="X102" s="387"/>
      <c r="Y102" s="386"/>
      <c r="Z102" s="386"/>
      <c r="AA102" s="386"/>
      <c r="AB102" s="403"/>
      <c r="AC102" s="483">
        <f t="shared" si="46"/>
        <v>1</v>
      </c>
      <c r="AD102" s="484">
        <f t="shared" si="47"/>
        <v>32.396768542878831</v>
      </c>
      <c r="AE102" s="485"/>
      <c r="AF102" s="486">
        <f t="shared" si="48"/>
        <v>1</v>
      </c>
      <c r="AG102" s="485"/>
      <c r="AH102" s="485"/>
      <c r="AI102" s="391"/>
      <c r="AJ102" s="391"/>
      <c r="AK102" s="391"/>
      <c r="AL102" s="391"/>
      <c r="AM102" s="391"/>
      <c r="AN102" s="391"/>
      <c r="AO102" s="391"/>
      <c r="AP102" s="391"/>
      <c r="AQ102" s="391"/>
      <c r="AR102" s="396"/>
      <c r="AS102" s="397"/>
      <c r="AT102" s="391"/>
      <c r="AU102" s="391"/>
      <c r="AV102" s="391"/>
      <c r="AW102" s="398"/>
      <c r="AX102" s="404"/>
      <c r="AY102" s="405"/>
    </row>
    <row r="103" spans="1:51" s="401" customFormat="1" ht="17.45" customHeight="1" x14ac:dyDescent="0.25">
      <c r="A103" s="378"/>
      <c r="B103" s="379"/>
      <c r="C103" s="379"/>
      <c r="D103" s="379"/>
      <c r="E103" s="380"/>
      <c r="F103" s="381"/>
      <c r="G103" s="379"/>
      <c r="H103" s="379"/>
      <c r="I103" s="365"/>
      <c r="J103" s="365"/>
      <c r="K103" s="365"/>
      <c r="L103" s="365"/>
      <c r="M103" s="365"/>
      <c r="N103" s="365"/>
      <c r="O103" s="365"/>
      <c r="P103" s="365"/>
      <c r="Q103" s="384"/>
      <c r="R103" s="385"/>
      <c r="S103" s="386"/>
      <c r="T103" s="387"/>
      <c r="U103" s="387"/>
      <c r="V103" s="387"/>
      <c r="W103" s="387"/>
      <c r="X103" s="387"/>
      <c r="Y103" s="386"/>
      <c r="Z103" s="386"/>
      <c r="AA103" s="386"/>
      <c r="AB103" s="403"/>
      <c r="AC103" s="483" t="str">
        <f t="shared" si="46"/>
        <v/>
      </c>
      <c r="AD103" s="484"/>
      <c r="AE103" s="488">
        <f>AE98/AE97*100</f>
        <v>1.037846265699671</v>
      </c>
      <c r="AF103" s="484"/>
      <c r="AG103" s="485"/>
      <c r="AH103" s="485"/>
      <c r="AI103" s="391"/>
      <c r="AJ103" s="391"/>
      <c r="AK103" s="391"/>
      <c r="AL103" s="391"/>
      <c r="AM103" s="391"/>
      <c r="AN103" s="391"/>
      <c r="AO103" s="391"/>
      <c r="AP103" s="391"/>
      <c r="AQ103" s="391"/>
      <c r="AR103" s="396"/>
      <c r="AS103" s="397"/>
      <c r="AT103" s="391"/>
      <c r="AU103" s="391"/>
      <c r="AV103" s="391"/>
      <c r="AW103" s="398"/>
      <c r="AX103" s="404"/>
      <c r="AY103" s="405"/>
    </row>
    <row r="104" spans="1:51" ht="15.75" customHeight="1" thickBot="1" x14ac:dyDescent="0.3">
      <c r="AB104" s="178" t="s">
        <v>202</v>
      </c>
      <c r="AC104" s="489"/>
      <c r="AD104" s="489"/>
      <c r="AE104" s="490"/>
      <c r="AF104" s="490"/>
      <c r="AG104" s="490"/>
      <c r="AH104" s="490"/>
    </row>
    <row r="105" spans="1:51" ht="15.75" customHeight="1" x14ac:dyDescent="0.25">
      <c r="AB105" s="491"/>
      <c r="AC105" s="492" t="s">
        <v>203</v>
      </c>
      <c r="AD105" s="493"/>
      <c r="AE105" s="494"/>
      <c r="AF105" s="489"/>
      <c r="AG105" s="490"/>
      <c r="AH105" s="490"/>
      <c r="AI105" s="495"/>
    </row>
    <row r="106" spans="1:51" ht="15.75" customHeight="1" x14ac:dyDescent="0.25">
      <c r="AB106" s="496"/>
      <c r="AC106" s="497">
        <f>AVERAGE(D99:D101)</f>
        <v>31.992457713883695</v>
      </c>
      <c r="AD106" s="489"/>
      <c r="AE106" s="498">
        <f>AC106-AC107</f>
        <v>31.696787444873014</v>
      </c>
      <c r="AF106" s="489"/>
      <c r="AG106" s="489"/>
      <c r="AH106" s="490"/>
    </row>
    <row r="107" spans="1:51" ht="15.75" customHeight="1" x14ac:dyDescent="0.25">
      <c r="AB107" s="496"/>
      <c r="AC107" s="489">
        <f>STDEV(D99:D101)</f>
        <v>0.29567026901068322</v>
      </c>
      <c r="AD107" s="489"/>
      <c r="AE107" s="499"/>
      <c r="AF107" s="489">
        <f>STDEV(D100:D102)</f>
        <v>0.33225204217756821</v>
      </c>
      <c r="AG107" s="490"/>
      <c r="AH107" s="490"/>
    </row>
    <row r="108" spans="1:51" ht="16.5" thickBot="1" x14ac:dyDescent="0.3">
      <c r="I108" s="178" t="s">
        <v>185</v>
      </c>
      <c r="AB108" s="500" t="s">
        <v>204</v>
      </c>
      <c r="AC108" s="501">
        <f>AC107/AC106*100</f>
        <v>0.92418741834383</v>
      </c>
      <c r="AD108" s="502" t="s">
        <v>205</v>
      </c>
      <c r="AE108" s="503"/>
      <c r="AF108" s="489"/>
      <c r="AG108" s="490"/>
      <c r="AH108" s="490"/>
    </row>
  </sheetData>
  <mergeCells count="22">
    <mergeCell ref="A23:C23"/>
    <mergeCell ref="AF23:AG23"/>
    <mergeCell ref="U5:AL7"/>
    <mergeCell ref="A6:D6"/>
    <mergeCell ref="V10:X11"/>
    <mergeCell ref="AI10:AK11"/>
    <mergeCell ref="V13:W13"/>
    <mergeCell ref="V14:W14"/>
    <mergeCell ref="AF16:AK17"/>
    <mergeCell ref="A17:C17"/>
    <mergeCell ref="AF18:AG20"/>
    <mergeCell ref="AF21:AG21"/>
    <mergeCell ref="AF22:AG22"/>
    <mergeCell ref="A49:P49"/>
    <mergeCell ref="A60:O60"/>
    <mergeCell ref="A74:P74"/>
    <mergeCell ref="AF24:AG24"/>
    <mergeCell ref="AF25:AG25"/>
    <mergeCell ref="A26:C26"/>
    <mergeCell ref="A31:R31"/>
    <mergeCell ref="D40:H40"/>
    <mergeCell ref="I40:M40"/>
  </mergeCells>
  <conditionalFormatting sqref="AI21">
    <cfRule type="cellIs" dxfId="21" priority="1" operator="lessThan">
      <formula>3</formula>
    </cfRule>
    <cfRule type="cellIs" dxfId="20" priority="2" operator="greaterThan">
      <formula>3.9</formula>
    </cfRule>
    <cfRule type="cellIs" dxfId="19" priority="3" operator="between">
      <formula>3</formula>
      <formula>3.9</formula>
    </cfRule>
    <cfRule type="cellIs" dxfId="18" priority="4" operator="between">
      <formula>3</formula>
      <formula>3.9</formula>
    </cfRule>
    <cfRule type="cellIs" dxfId="17" priority="8" operator="between">
      <formula>3.15</formula>
      <formula>3.85</formula>
    </cfRule>
  </conditionalFormatting>
  <conditionalFormatting sqref="AI25">
    <cfRule type="cellIs" dxfId="16" priority="7" operator="lessThan">
      <formula>812</formula>
    </cfRule>
  </conditionalFormatting>
  <conditionalFormatting sqref="AI25:AK25">
    <cfRule type="cellIs" dxfId="15" priority="5" operator="greaterThan">
      <formula>1000</formula>
    </cfRule>
  </conditionalFormatting>
  <conditionalFormatting sqref="AJ25:AK25">
    <cfRule type="cellIs" dxfId="14" priority="6" operator="lessThan">
      <formula>1000</formula>
    </cfRule>
  </conditionalFormatting>
  <printOptions horizontalCentered="1"/>
  <pageMargins left="0.25" right="0.25" top="0" bottom="0" header="0.3" footer="0.3"/>
  <pageSetup paperSize="9" scale="11"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77"/>
  <sheetViews>
    <sheetView topLeftCell="A43" zoomScaleNormal="100" workbookViewId="0">
      <selection activeCell="B14" sqref="B14"/>
    </sheetView>
  </sheetViews>
  <sheetFormatPr defaultColWidth="8.7109375" defaultRowHeight="15.75" outlineLevelRow="2" x14ac:dyDescent="0.25"/>
  <cols>
    <col min="1" max="1" width="39.42578125" style="2" customWidth="1"/>
    <col min="2" max="2" width="26.28515625" style="2" customWidth="1"/>
    <col min="3" max="3" width="32.28515625" style="2" customWidth="1"/>
    <col min="4" max="4" width="22.28515625" style="2" customWidth="1"/>
    <col min="5" max="5" width="23.28515625" style="2" customWidth="1"/>
    <col min="6" max="6" width="25.7109375" style="2" customWidth="1"/>
    <col min="7" max="8" width="16.7109375" style="2" customWidth="1"/>
    <col min="9" max="9" width="18.42578125" style="2" customWidth="1"/>
    <col min="10" max="10" width="15.7109375" style="2" customWidth="1"/>
    <col min="11" max="11" width="16.42578125" style="2" customWidth="1"/>
    <col min="12" max="12" width="16.7109375" style="2" customWidth="1"/>
    <col min="13" max="13" width="17.28515625" style="2" customWidth="1"/>
    <col min="14" max="14" width="10.28515625" style="2" customWidth="1"/>
    <col min="15" max="15" width="11" style="2" customWidth="1"/>
    <col min="16" max="16" width="18.7109375" style="2" customWidth="1"/>
    <col min="17" max="17" width="11" style="2" customWidth="1"/>
    <col min="18" max="21" width="11.7109375" style="2" customWidth="1"/>
    <col min="22" max="22" width="22.28515625" style="2" customWidth="1"/>
    <col min="23" max="25" width="11.7109375" style="2" customWidth="1"/>
    <col min="26" max="26" width="21.28515625" style="2" customWidth="1"/>
    <col min="27" max="35" width="11.7109375" style="2" customWidth="1"/>
    <col min="36" max="36" width="13.28515625" style="2" customWidth="1"/>
    <col min="37" max="37" width="14.7109375" style="2" customWidth="1"/>
    <col min="38" max="38" width="11.7109375" style="2" customWidth="1"/>
    <col min="39" max="39" width="9.42578125" style="2" customWidth="1"/>
    <col min="40" max="40" width="8.28515625" style="2" customWidth="1"/>
    <col min="41" max="41" width="7.42578125" style="2" customWidth="1"/>
    <col min="42" max="43" width="9.28515625" style="2" customWidth="1"/>
    <col min="44" max="44" width="8.42578125" style="2" customWidth="1"/>
    <col min="45" max="64" width="9.28515625" style="2" customWidth="1"/>
    <col min="65" max="16384" width="8.7109375" style="2"/>
  </cols>
  <sheetData>
    <row r="1" spans="1:58" x14ac:dyDescent="0.25">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row>
    <row r="2" spans="1:58" x14ac:dyDescent="0.25">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row>
    <row r="3" spans="1:58" x14ac:dyDescent="0.25">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58" x14ac:dyDescent="0.25">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row>
    <row r="5" spans="1:58" ht="34.5" customHeight="1" x14ac:dyDescent="0.25">
      <c r="A5" s="6"/>
      <c r="B5" s="4"/>
      <c r="C5" s="4"/>
      <c r="D5" s="4"/>
      <c r="E5" s="4"/>
      <c r="F5" s="4"/>
      <c r="G5" s="4"/>
      <c r="H5" s="4"/>
      <c r="I5" s="4"/>
      <c r="J5" s="4"/>
      <c r="K5" s="4"/>
      <c r="L5" s="4"/>
      <c r="M5" s="4"/>
      <c r="N5" s="4"/>
      <c r="O5" s="4"/>
      <c r="P5" s="4"/>
      <c r="Q5" s="4"/>
      <c r="R5" s="4"/>
      <c r="S5" s="4"/>
      <c r="T5" s="4"/>
      <c r="U5" s="575" t="s">
        <v>3</v>
      </c>
      <c r="V5" s="575"/>
      <c r="W5" s="575"/>
      <c r="X5" s="575"/>
      <c r="Y5" s="575"/>
      <c r="Z5" s="575"/>
      <c r="AA5" s="575"/>
      <c r="AB5" s="575"/>
      <c r="AC5" s="575"/>
      <c r="AD5" s="575"/>
      <c r="AE5" s="575"/>
      <c r="AF5" s="575"/>
      <c r="AG5" s="575"/>
      <c r="AH5" s="575"/>
      <c r="AI5" s="575"/>
      <c r="AJ5" s="575"/>
      <c r="AK5" s="575"/>
      <c r="AL5" s="575"/>
      <c r="AM5" s="4"/>
      <c r="AN5" s="4"/>
      <c r="AO5" s="4"/>
      <c r="AP5" s="4"/>
      <c r="AQ5" s="4"/>
      <c r="AR5" s="4"/>
      <c r="AS5" s="4"/>
      <c r="AT5" s="4"/>
      <c r="AU5" s="4"/>
      <c r="AV5" s="4"/>
      <c r="AW5" s="4"/>
      <c r="AX5" s="4"/>
      <c r="AY5" s="4"/>
      <c r="AZ5" s="4"/>
      <c r="BA5" s="4"/>
      <c r="BB5" s="4"/>
      <c r="BC5" s="4"/>
      <c r="BD5" s="4"/>
      <c r="BE5" s="4"/>
      <c r="BF5" s="4"/>
    </row>
    <row r="6" spans="1:58" x14ac:dyDescent="0.25">
      <c r="A6" s="4"/>
      <c r="B6" s="4"/>
      <c r="C6" s="4"/>
      <c r="D6" s="4"/>
      <c r="E6" s="4"/>
      <c r="F6" s="4"/>
      <c r="G6" s="4"/>
      <c r="H6" s="4"/>
      <c r="I6" s="4"/>
      <c r="J6" s="4"/>
      <c r="K6" s="4"/>
      <c r="L6" s="4"/>
      <c r="M6" s="4"/>
      <c r="N6" s="4"/>
      <c r="O6" s="4"/>
      <c r="P6" s="4"/>
      <c r="Q6" s="4"/>
      <c r="R6" s="4"/>
      <c r="S6" s="4"/>
      <c r="T6" s="4"/>
      <c r="U6" s="575"/>
      <c r="V6" s="575"/>
      <c r="W6" s="575"/>
      <c r="X6" s="575"/>
      <c r="Y6" s="575"/>
      <c r="Z6" s="575"/>
      <c r="AA6" s="575"/>
      <c r="AB6" s="575"/>
      <c r="AC6" s="575"/>
      <c r="AD6" s="575"/>
      <c r="AE6" s="575"/>
      <c r="AF6" s="575"/>
      <c r="AG6" s="575"/>
      <c r="AH6" s="575"/>
      <c r="AI6" s="575"/>
      <c r="AJ6" s="575"/>
      <c r="AK6" s="575"/>
      <c r="AL6" s="575"/>
      <c r="AM6" s="4"/>
      <c r="AN6" s="4"/>
      <c r="AO6" s="4"/>
      <c r="AP6" s="4"/>
      <c r="AQ6" s="4"/>
      <c r="AR6" s="4"/>
      <c r="AS6" s="4"/>
      <c r="AT6" s="4"/>
      <c r="AU6" s="4"/>
      <c r="AV6" s="4"/>
      <c r="AW6" s="4"/>
      <c r="AX6" s="4"/>
      <c r="AY6" s="4"/>
      <c r="AZ6" s="4"/>
      <c r="BA6" s="4"/>
      <c r="BB6" s="4"/>
      <c r="BC6" s="4"/>
      <c r="BD6" s="4"/>
      <c r="BE6" s="4"/>
      <c r="BF6" s="4"/>
    </row>
    <row r="7" spans="1:58" x14ac:dyDescent="0.25">
      <c r="A7" s="576" t="s">
        <v>4</v>
      </c>
      <c r="B7" s="576"/>
      <c r="C7" s="576"/>
      <c r="D7" s="576"/>
      <c r="E7" s="4"/>
      <c r="F7" s="8" t="s">
        <v>5</v>
      </c>
      <c r="G7" s="9"/>
      <c r="H7" s="9"/>
      <c r="I7" s="9"/>
      <c r="J7" s="9"/>
      <c r="K7" s="4"/>
      <c r="L7" s="4"/>
      <c r="M7" s="4"/>
      <c r="N7" s="4"/>
      <c r="O7" s="4"/>
      <c r="P7" s="4"/>
      <c r="Q7" s="4"/>
      <c r="R7" s="4"/>
      <c r="S7" s="4"/>
      <c r="T7" s="4"/>
      <c r="U7" s="575"/>
      <c r="V7" s="575"/>
      <c r="W7" s="575"/>
      <c r="X7" s="575"/>
      <c r="Y7" s="575"/>
      <c r="Z7" s="575"/>
      <c r="AA7" s="575"/>
      <c r="AB7" s="575"/>
      <c r="AC7" s="575"/>
      <c r="AD7" s="575"/>
      <c r="AE7" s="575"/>
      <c r="AF7" s="575"/>
      <c r="AG7" s="575"/>
      <c r="AH7" s="575"/>
      <c r="AI7" s="575"/>
      <c r="AJ7" s="575"/>
      <c r="AK7" s="575"/>
      <c r="AL7" s="575"/>
      <c r="AM7" s="4"/>
      <c r="AN7" s="4"/>
      <c r="AO7" s="4"/>
      <c r="AP7" s="4"/>
      <c r="AQ7" s="4"/>
      <c r="AR7" s="4"/>
      <c r="AS7" s="4"/>
      <c r="AT7" s="4"/>
      <c r="AU7" s="4"/>
      <c r="AV7" s="4"/>
      <c r="AW7" s="4"/>
      <c r="AX7" s="4"/>
      <c r="AY7" s="4"/>
      <c r="AZ7" s="4"/>
      <c r="BA7" s="4"/>
      <c r="BB7" s="4"/>
      <c r="BC7" s="4"/>
      <c r="BD7" s="4"/>
      <c r="BE7" s="4"/>
      <c r="BF7" s="4"/>
    </row>
    <row r="8" spans="1:58" x14ac:dyDescent="0.25">
      <c r="A8" s="10" t="s">
        <v>6</v>
      </c>
      <c r="B8" s="11" t="s">
        <v>7</v>
      </c>
      <c r="C8" s="12" t="s">
        <v>8</v>
      </c>
      <c r="D8" s="13">
        <f>D10*B11*8.34*10000</f>
        <v>448.828776</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19"/>
      <c r="AL8" s="20"/>
      <c r="AM8" s="4"/>
      <c r="AN8" s="4"/>
      <c r="AO8" s="4"/>
      <c r="AP8" s="4"/>
      <c r="AQ8" s="4"/>
      <c r="AR8" s="4"/>
      <c r="AS8" s="4"/>
      <c r="AT8" s="4"/>
      <c r="AU8" s="4"/>
      <c r="AV8" s="4"/>
      <c r="AW8" s="4"/>
      <c r="AX8" s="4"/>
      <c r="AY8" s="4"/>
      <c r="AZ8" s="4"/>
      <c r="BA8" s="4"/>
      <c r="BB8" s="4"/>
      <c r="BC8" s="4"/>
      <c r="BD8" s="4"/>
      <c r="BE8" s="4"/>
      <c r="BF8" s="4"/>
    </row>
    <row r="9" spans="1:58" x14ac:dyDescent="0.25">
      <c r="A9" s="21" t="s">
        <v>10</v>
      </c>
      <c r="B9" s="11">
        <v>0.16500000000000001</v>
      </c>
      <c r="C9" s="22" t="s">
        <v>11</v>
      </c>
      <c r="D9" s="23">
        <f>B9*B10</f>
        <v>14.949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7"/>
      <c r="AL9" s="28"/>
      <c r="AM9" s="4"/>
      <c r="AN9" s="4"/>
      <c r="AO9" s="4"/>
      <c r="AP9" s="4"/>
      <c r="AQ9" s="4"/>
      <c r="AR9" s="4"/>
      <c r="AS9" s="4"/>
      <c r="AT9" s="4"/>
      <c r="AU9" s="4"/>
      <c r="AV9" s="4"/>
      <c r="AW9" s="4"/>
      <c r="AX9" s="4"/>
      <c r="AY9" s="4"/>
      <c r="AZ9" s="4"/>
      <c r="BA9" s="4"/>
      <c r="BB9" s="4"/>
      <c r="BC9" s="4"/>
      <c r="BD9" s="4"/>
      <c r="BE9" s="4"/>
      <c r="BF9" s="4"/>
    </row>
    <row r="10" spans="1:58" x14ac:dyDescent="0.25">
      <c r="A10" s="21" t="s">
        <v>16</v>
      </c>
      <c r="B10" s="29">
        <v>90.6</v>
      </c>
      <c r="C10" s="22" t="s">
        <v>17</v>
      </c>
      <c r="D10" s="23">
        <f>D9*1440/1000000</f>
        <v>2.152656E-2</v>
      </c>
      <c r="E10" s="4"/>
      <c r="F10" s="24" t="s">
        <v>18</v>
      </c>
      <c r="G10" s="30" t="s">
        <v>19</v>
      </c>
      <c r="H10" s="31">
        <f>J69</f>
        <v>3.5084598678429519</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7"/>
      <c r="AL10" s="28"/>
      <c r="AM10" s="4"/>
      <c r="AN10" s="4"/>
      <c r="AO10" s="4"/>
      <c r="AP10" s="4"/>
      <c r="AQ10" s="4"/>
      <c r="AR10" s="4"/>
      <c r="AS10" s="4"/>
      <c r="AT10" s="4"/>
      <c r="AU10" s="4"/>
      <c r="AV10" s="4"/>
      <c r="AW10" s="4"/>
      <c r="AX10" s="4"/>
      <c r="AY10" s="4"/>
      <c r="AZ10" s="4"/>
      <c r="BA10" s="4"/>
      <c r="BB10" s="4"/>
      <c r="BC10" s="4"/>
      <c r="BD10" s="4"/>
      <c r="BE10" s="4"/>
      <c r="BF10" s="4"/>
    </row>
    <row r="11" spans="1:58" x14ac:dyDescent="0.25">
      <c r="A11" s="21" t="s">
        <v>20</v>
      </c>
      <c r="B11" s="32">
        <v>0.25</v>
      </c>
      <c r="C11" s="22" t="s">
        <v>21</v>
      </c>
      <c r="D11" s="23">
        <f>B10*1440/1000000</f>
        <v>0.130464</v>
      </c>
      <c r="E11" s="4"/>
      <c r="F11" s="24" t="s">
        <v>22</v>
      </c>
      <c r="G11" s="30" t="s">
        <v>23</v>
      </c>
      <c r="H11" s="33">
        <f>B9</f>
        <v>0.16500000000000001</v>
      </c>
      <c r="I11" s="33">
        <f>B9</f>
        <v>0.16500000000000001</v>
      </c>
      <c r="J11" s="33">
        <f>B9</f>
        <v>0.16500000000000001</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7"/>
      <c r="AL11" s="28"/>
      <c r="AM11" s="4"/>
      <c r="AN11" s="4"/>
      <c r="AO11" s="4"/>
      <c r="AP11" s="4"/>
      <c r="AQ11" s="4"/>
      <c r="AR11" s="4"/>
      <c r="AS11" s="4"/>
      <c r="AT11" s="4"/>
      <c r="AU11" s="4"/>
      <c r="AV11" s="4"/>
      <c r="AW11" s="4"/>
      <c r="AX11" s="4"/>
      <c r="AY11" s="4"/>
      <c r="AZ11" s="4"/>
      <c r="BA11" s="4"/>
      <c r="BB11" s="4"/>
      <c r="BC11" s="4"/>
      <c r="BD11" s="4"/>
      <c r="BE11" s="4"/>
      <c r="BF11" s="4"/>
    </row>
    <row r="12" spans="1:58" x14ac:dyDescent="0.25">
      <c r="A12" s="21" t="s">
        <v>24</v>
      </c>
      <c r="B12" s="34">
        <v>6.1</v>
      </c>
      <c r="C12" s="22" t="s">
        <v>25</v>
      </c>
      <c r="D12" s="23">
        <f>(B12/(1+(B15/B14)))</f>
        <v>3.7289036544850496</v>
      </c>
      <c r="E12" s="4"/>
      <c r="F12" s="24" t="s">
        <v>26</v>
      </c>
      <c r="G12" s="30" t="s">
        <v>27</v>
      </c>
      <c r="H12" s="35">
        <f>AT72</f>
        <v>21.710526315789476</v>
      </c>
      <c r="I12" s="36">
        <f>Y72</f>
        <v>26.603128665134808</v>
      </c>
      <c r="J12" s="36">
        <f>AO72</f>
        <v>23.899659713224764</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7"/>
      <c r="AL12" s="28"/>
      <c r="AM12" s="4"/>
      <c r="AN12" s="4"/>
      <c r="AO12" s="4"/>
      <c r="AP12" s="4"/>
      <c r="AQ12" s="4"/>
      <c r="AR12" s="4"/>
      <c r="AS12" s="4"/>
      <c r="AT12" s="4"/>
      <c r="AU12" s="4"/>
      <c r="AV12" s="4"/>
      <c r="AW12" s="4"/>
      <c r="AX12" s="4"/>
      <c r="AY12" s="4"/>
      <c r="AZ12" s="4"/>
      <c r="BA12" s="4"/>
      <c r="BB12" s="4"/>
      <c r="BC12" s="4"/>
      <c r="BD12" s="4"/>
      <c r="BE12" s="4"/>
      <c r="BF12" s="4"/>
    </row>
    <row r="13" spans="1:58" x14ac:dyDescent="0.25">
      <c r="A13" s="21" t="s">
        <v>28</v>
      </c>
      <c r="B13" s="37">
        <v>3.8</v>
      </c>
      <c r="C13" s="22" t="s">
        <v>29</v>
      </c>
      <c r="D13" s="23">
        <f>D11*D12*8.34*(10000/2000)</f>
        <v>20.286536521993352</v>
      </c>
      <c r="E13" s="4"/>
      <c r="F13" s="24" t="s">
        <v>30</v>
      </c>
      <c r="G13" s="30" t="s">
        <v>19</v>
      </c>
      <c r="H13" s="31">
        <f>J68</f>
        <v>28.667686781903466</v>
      </c>
      <c r="I13" s="36">
        <f>Z72</f>
        <v>26.087428899711739</v>
      </c>
      <c r="J13" s="36">
        <f>AP72</f>
        <v>29.747240591983005</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7"/>
      <c r="AL13" s="28"/>
      <c r="AM13" s="4"/>
      <c r="AN13" s="4"/>
      <c r="AO13" s="4"/>
      <c r="AP13" s="4"/>
      <c r="AQ13" s="4"/>
      <c r="AR13" s="4"/>
      <c r="AS13" s="4"/>
      <c r="AT13" s="4"/>
      <c r="AU13" s="4"/>
      <c r="AV13" s="4"/>
      <c r="AW13" s="4"/>
      <c r="AX13" s="4"/>
      <c r="AY13" s="4"/>
      <c r="AZ13" s="4"/>
      <c r="BA13" s="4"/>
      <c r="BB13" s="4"/>
      <c r="BC13" s="4"/>
      <c r="BD13" s="4"/>
      <c r="BE13" s="4"/>
      <c r="BF13" s="4"/>
    </row>
    <row r="14" spans="1:58" ht="31.5" x14ac:dyDescent="0.25">
      <c r="A14" s="21" t="s">
        <v>31</v>
      </c>
      <c r="B14" s="38">
        <v>552</v>
      </c>
      <c r="C14" s="22" t="s">
        <v>32</v>
      </c>
      <c r="D14" s="23">
        <f>D8/D13</f>
        <v>22.12446543121882</v>
      </c>
      <c r="E14" s="4"/>
      <c r="F14" s="24" t="s">
        <v>33</v>
      </c>
      <c r="G14" s="30" t="s">
        <v>34</v>
      </c>
      <c r="H14" s="31">
        <f>AV72</f>
        <v>600.00000000000045</v>
      </c>
      <c r="I14" s="36">
        <f>AA72</f>
        <v>809.99999999999966</v>
      </c>
      <c r="J14" s="36">
        <f>AQ72</f>
        <v>705.00000000001114</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7"/>
      <c r="AL14" s="28"/>
      <c r="AM14" s="4"/>
      <c r="AN14" s="4"/>
      <c r="AO14" s="4"/>
      <c r="AP14" s="4"/>
      <c r="AQ14" s="4"/>
      <c r="AR14" s="4"/>
      <c r="AS14" s="4"/>
      <c r="AT14" s="4"/>
      <c r="AU14" s="4"/>
      <c r="AV14" s="4"/>
      <c r="AW14" s="4"/>
      <c r="AX14" s="4"/>
      <c r="AY14" s="4"/>
      <c r="AZ14" s="4"/>
      <c r="BA14" s="4"/>
      <c r="BB14" s="4"/>
      <c r="BC14" s="4"/>
      <c r="BD14" s="4"/>
      <c r="BE14" s="4"/>
      <c r="BF14" s="4"/>
    </row>
    <row r="15" spans="1:58" ht="31.5" x14ac:dyDescent="0.4">
      <c r="A15" s="39" t="s">
        <v>35</v>
      </c>
      <c r="B15" s="40">
        <v>351</v>
      </c>
      <c r="C15" s="41" t="s">
        <v>36</v>
      </c>
      <c r="D15" s="42">
        <f>((B9*B11)/B13)*2000</f>
        <v>21.710526315789476</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7"/>
      <c r="AL15" s="28"/>
      <c r="AM15" s="4"/>
      <c r="AN15" s="4"/>
      <c r="AO15" s="4"/>
      <c r="AP15" s="4"/>
      <c r="AQ15" s="4"/>
      <c r="AR15" s="4"/>
      <c r="AS15" s="4"/>
      <c r="AT15" s="4"/>
      <c r="AU15" s="4"/>
      <c r="AV15" s="4"/>
      <c r="AW15" s="4"/>
      <c r="AX15" s="4"/>
      <c r="AY15" s="4"/>
      <c r="AZ15" s="4"/>
      <c r="BA15" s="4"/>
      <c r="BB15" s="4"/>
      <c r="BC15" s="4"/>
      <c r="BD15" s="4"/>
      <c r="BE15" s="4"/>
      <c r="BF15" s="4"/>
    </row>
    <row r="16" spans="1:58" x14ac:dyDescent="0.25">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7"/>
      <c r="AL16" s="28"/>
      <c r="AM16" s="4"/>
      <c r="AN16" s="4"/>
      <c r="AO16" s="4"/>
      <c r="AP16" s="4"/>
      <c r="AQ16" s="4"/>
      <c r="AR16" s="4"/>
      <c r="AS16" s="4"/>
      <c r="AT16" s="4"/>
      <c r="AU16" s="4"/>
      <c r="AV16" s="4"/>
      <c r="AW16" s="4"/>
      <c r="AX16" s="4"/>
      <c r="AY16" s="4"/>
      <c r="AZ16" s="4"/>
      <c r="BA16" s="4"/>
      <c r="BB16" s="4"/>
      <c r="BC16" s="4"/>
      <c r="BD16" s="4"/>
      <c r="BE16" s="4"/>
      <c r="BF16" s="4"/>
    </row>
    <row r="17" spans="1:58" ht="15.75" customHeight="1" outlineLevel="2" x14ac:dyDescent="0.25">
      <c r="A17" s="577" t="s">
        <v>37</v>
      </c>
      <c r="B17" s="577"/>
      <c r="C17" s="57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7"/>
      <c r="AL17" s="28"/>
      <c r="AM17" s="4"/>
      <c r="AN17" s="4"/>
      <c r="AO17" s="4"/>
      <c r="AP17" s="4"/>
      <c r="AQ17" s="4"/>
      <c r="AR17" s="4"/>
      <c r="AS17" s="4"/>
      <c r="AT17" s="4"/>
      <c r="AU17" s="4"/>
      <c r="AV17" s="4"/>
      <c r="AW17" s="4"/>
      <c r="AX17" s="4"/>
      <c r="AY17" s="4"/>
      <c r="AZ17" s="4"/>
      <c r="BA17" s="4"/>
      <c r="BB17" s="4"/>
      <c r="BC17" s="4"/>
      <c r="BD17" s="4"/>
      <c r="BE17" s="4"/>
      <c r="BF17" s="4"/>
    </row>
    <row r="18" spans="1:58" outlineLevel="2" x14ac:dyDescent="0.25">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7"/>
      <c r="AL18" s="28"/>
      <c r="AM18" s="4"/>
      <c r="AN18" s="4"/>
      <c r="AO18" s="4"/>
      <c r="AP18" s="4"/>
      <c r="AQ18" s="4"/>
      <c r="AR18" s="4"/>
      <c r="AS18" s="4"/>
      <c r="AT18" s="4"/>
      <c r="AU18" s="4"/>
      <c r="AV18" s="4"/>
      <c r="AW18" s="4"/>
      <c r="AX18" s="4"/>
      <c r="AY18" s="4"/>
      <c r="AZ18" s="4"/>
      <c r="BA18" s="4"/>
      <c r="BB18" s="4"/>
      <c r="BC18" s="4"/>
      <c r="BD18" s="4"/>
      <c r="BE18" s="4"/>
      <c r="BF18" s="4"/>
    </row>
    <row r="19" spans="1:58" outlineLevel="2" x14ac:dyDescent="0.25">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7"/>
      <c r="AL19" s="28"/>
      <c r="AM19" s="4"/>
      <c r="AN19" s="4"/>
      <c r="AO19" s="4"/>
      <c r="AP19" s="4"/>
      <c r="AQ19" s="4"/>
      <c r="AR19" s="4"/>
      <c r="AS19" s="4"/>
      <c r="AT19" s="4"/>
      <c r="AU19" s="4"/>
      <c r="AV19" s="4"/>
      <c r="AW19" s="4"/>
      <c r="AX19" s="4"/>
      <c r="AY19" s="4"/>
      <c r="AZ19" s="4"/>
      <c r="BA19" s="4"/>
      <c r="BB19" s="4"/>
      <c r="BC19" s="4"/>
      <c r="BD19" s="4"/>
      <c r="BE19" s="4"/>
      <c r="BF19" s="4"/>
    </row>
    <row r="20" spans="1:58" outlineLevel="2" x14ac:dyDescent="0.25">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7"/>
      <c r="AL20" s="28"/>
      <c r="AM20" s="4"/>
      <c r="AN20" s="4"/>
      <c r="AO20" s="4"/>
      <c r="AP20" s="4"/>
      <c r="AQ20" s="4"/>
      <c r="AR20" s="4"/>
      <c r="AS20" s="4"/>
      <c r="AT20" s="4"/>
      <c r="AU20" s="4"/>
      <c r="AV20" s="4"/>
      <c r="AW20" s="4"/>
      <c r="AX20" s="4"/>
      <c r="AY20" s="4"/>
      <c r="AZ20" s="4"/>
      <c r="BA20" s="4"/>
      <c r="BB20" s="4"/>
      <c r="BC20" s="4"/>
      <c r="BD20" s="4"/>
      <c r="BE20" s="4"/>
      <c r="BF20" s="4"/>
    </row>
    <row r="21" spans="1:58" outlineLevel="2" x14ac:dyDescent="0.25">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7"/>
      <c r="AL21" s="28"/>
      <c r="AM21" s="4"/>
      <c r="AN21" s="4"/>
      <c r="AO21" s="4"/>
      <c r="AP21" s="4"/>
      <c r="AQ21" s="4"/>
      <c r="AR21" s="4"/>
      <c r="AS21" s="4"/>
      <c r="AT21" s="4"/>
      <c r="AU21" s="4"/>
      <c r="AV21" s="4"/>
      <c r="AW21" s="4"/>
      <c r="AX21" s="4"/>
      <c r="AY21" s="4"/>
      <c r="AZ21" s="4"/>
      <c r="BA21" s="4"/>
      <c r="BB21" s="4"/>
      <c r="BC21" s="4"/>
      <c r="BD21" s="4"/>
      <c r="BE21" s="4"/>
      <c r="BF21" s="4"/>
    </row>
    <row r="22" spans="1:58" ht="18" outlineLevel="2" x14ac:dyDescent="0.25">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7"/>
      <c r="AL22" s="28"/>
      <c r="AM22" s="4"/>
      <c r="AN22" s="4"/>
      <c r="AO22" s="4"/>
      <c r="AP22" s="4"/>
      <c r="AQ22" s="4"/>
      <c r="AR22" s="4"/>
      <c r="AS22" s="4"/>
      <c r="AT22" s="4"/>
      <c r="AU22" s="4"/>
      <c r="AV22" s="4"/>
      <c r="AW22" s="4"/>
      <c r="AX22" s="4"/>
      <c r="AY22" s="4"/>
      <c r="AZ22" s="4"/>
      <c r="BA22" s="4"/>
      <c r="BB22" s="4"/>
      <c r="BC22" s="4"/>
      <c r="BD22" s="4"/>
      <c r="BE22" s="4"/>
      <c r="BF22" s="4"/>
    </row>
    <row r="23" spans="1:58" ht="18" outlineLevel="2" x14ac:dyDescent="0.25">
      <c r="A23" s="578" t="s">
        <v>45</v>
      </c>
      <c r="B23" s="578"/>
      <c r="C23" s="57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7"/>
      <c r="AL23" s="28"/>
      <c r="AM23" s="4"/>
      <c r="AN23" s="4"/>
      <c r="AO23" s="4"/>
      <c r="AP23" s="4"/>
      <c r="AQ23" s="4"/>
      <c r="AR23" s="4"/>
      <c r="AS23" s="4"/>
      <c r="AT23" s="4"/>
      <c r="AU23" s="4"/>
      <c r="AV23" s="4"/>
      <c r="AW23" s="4"/>
      <c r="AX23" s="4"/>
      <c r="AY23" s="4"/>
      <c r="AZ23" s="4"/>
      <c r="BA23" s="4"/>
      <c r="BB23" s="4"/>
      <c r="BC23" s="4"/>
      <c r="BD23" s="4"/>
      <c r="BE23" s="4"/>
      <c r="BF23" s="4"/>
    </row>
    <row r="24" spans="1:58" outlineLevel="2" x14ac:dyDescent="0.25">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7"/>
      <c r="AL24" s="28"/>
      <c r="AM24" s="4"/>
      <c r="AN24" s="4"/>
      <c r="AO24" s="4"/>
      <c r="AP24" s="4"/>
      <c r="AQ24" s="4"/>
      <c r="AR24" s="4"/>
      <c r="AS24" s="4"/>
      <c r="AT24" s="4"/>
      <c r="AU24" s="4"/>
      <c r="AV24" s="4"/>
      <c r="AW24" s="4"/>
      <c r="AX24" s="4"/>
      <c r="AY24" s="4"/>
      <c r="AZ24" s="4"/>
      <c r="BA24" s="4"/>
      <c r="BB24" s="4"/>
      <c r="BC24" s="4"/>
      <c r="BD24" s="4"/>
      <c r="BE24" s="4"/>
      <c r="BF24" s="4"/>
    </row>
    <row r="25" spans="1:58" ht="16.5" customHeight="1" outlineLevel="2" x14ac:dyDescent="0.25">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7"/>
      <c r="AL25" s="28"/>
      <c r="AM25" s="4"/>
      <c r="AN25" s="4"/>
      <c r="AO25" s="4"/>
      <c r="AP25" s="4"/>
      <c r="AQ25" s="4"/>
      <c r="AR25" s="4"/>
      <c r="AS25" s="4"/>
      <c r="AT25" s="4"/>
      <c r="AU25" s="4"/>
      <c r="AV25" s="4"/>
      <c r="AW25" s="4"/>
      <c r="AX25" s="4"/>
      <c r="AY25" s="4"/>
      <c r="AZ25" s="4"/>
      <c r="BA25" s="4"/>
      <c r="BB25" s="4"/>
      <c r="BC25" s="4"/>
      <c r="BD25" s="4"/>
      <c r="BE25" s="4"/>
      <c r="BF25" s="4"/>
    </row>
    <row r="26" spans="1:58" ht="16.5" customHeight="1" outlineLevel="2" x14ac:dyDescent="0.25">
      <c r="A26" s="578" t="s">
        <v>50</v>
      </c>
      <c r="B26" s="578"/>
      <c r="C26" s="57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7"/>
      <c r="AL26" s="28"/>
      <c r="AM26" s="4"/>
      <c r="AN26" s="4"/>
      <c r="AO26" s="4"/>
      <c r="AP26" s="4"/>
      <c r="AQ26" s="4"/>
      <c r="AR26" s="4"/>
      <c r="AS26" s="4"/>
      <c r="AT26" s="4"/>
      <c r="AU26" s="4"/>
      <c r="AV26" s="4"/>
      <c r="AW26" s="4"/>
      <c r="AX26" s="4"/>
      <c r="AY26" s="4"/>
      <c r="AZ26" s="4"/>
      <c r="BA26" s="4"/>
      <c r="BB26" s="4"/>
      <c r="BC26" s="4"/>
      <c r="BD26" s="4"/>
      <c r="BE26" s="4"/>
      <c r="BF26" s="4"/>
    </row>
    <row r="27" spans="1:58" outlineLevel="2" x14ac:dyDescent="0.25">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7"/>
      <c r="AL27" s="28"/>
      <c r="AM27" s="4"/>
      <c r="AN27" s="4"/>
      <c r="AO27" s="4"/>
      <c r="AP27" s="4"/>
      <c r="AQ27" s="4"/>
      <c r="AR27" s="4"/>
      <c r="AS27" s="4"/>
      <c r="AT27" s="4"/>
      <c r="AU27" s="4"/>
      <c r="AV27" s="4"/>
      <c r="AW27" s="4"/>
      <c r="AX27" s="4"/>
      <c r="AY27" s="4"/>
      <c r="AZ27" s="4"/>
      <c r="BA27" s="4"/>
      <c r="BB27" s="4"/>
      <c r="BC27" s="4"/>
      <c r="BD27" s="4"/>
      <c r="BE27" s="4"/>
    </row>
    <row r="28" spans="1:58" outlineLevel="2" x14ac:dyDescent="0.25">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7"/>
      <c r="AL28" s="28"/>
      <c r="AM28" s="4"/>
      <c r="AN28" s="4"/>
      <c r="AO28" s="4"/>
      <c r="AP28" s="4"/>
      <c r="AQ28" s="4"/>
      <c r="AR28" s="4"/>
      <c r="AS28" s="4"/>
      <c r="AT28" s="4"/>
      <c r="AU28" s="4"/>
      <c r="AV28" s="4"/>
      <c r="AW28" s="4"/>
      <c r="AX28" s="4"/>
      <c r="AY28" s="4"/>
      <c r="AZ28" s="4"/>
      <c r="BA28" s="4"/>
      <c r="BB28" s="4"/>
      <c r="BC28" s="4"/>
      <c r="BD28" s="4"/>
      <c r="BE28" s="4"/>
    </row>
    <row r="29" spans="1:58" x14ac:dyDescent="0.25">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7"/>
      <c r="AL29" s="28"/>
      <c r="AM29" s="4"/>
      <c r="AN29" s="4"/>
      <c r="AO29" s="4"/>
      <c r="AP29" s="4"/>
      <c r="AQ29" s="4"/>
      <c r="AR29" s="4"/>
      <c r="AS29" s="4"/>
      <c r="AT29" s="4"/>
      <c r="AU29" s="4"/>
      <c r="AV29" s="4"/>
      <c r="AW29" s="4"/>
      <c r="AX29" s="4"/>
      <c r="AY29" s="4"/>
      <c r="AZ29" s="4"/>
      <c r="BA29" s="4"/>
      <c r="BB29" s="4"/>
      <c r="BC29" s="4"/>
      <c r="BD29" s="4"/>
      <c r="BE29" s="4"/>
    </row>
    <row r="30" spans="1:58" x14ac:dyDescent="0.25">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7"/>
      <c r="AL30" s="28"/>
      <c r="AM30" s="4"/>
      <c r="AN30" s="4"/>
      <c r="AO30" s="4"/>
      <c r="AP30" s="4"/>
      <c r="AQ30" s="4"/>
      <c r="AR30" s="4"/>
      <c r="AS30" s="4"/>
      <c r="AT30" s="4"/>
      <c r="AU30" s="4"/>
      <c r="AV30" s="4"/>
      <c r="AW30" s="4"/>
      <c r="AX30" s="4"/>
      <c r="AY30" s="4"/>
      <c r="AZ30" s="4"/>
      <c r="BA30" s="4"/>
      <c r="BB30" s="4"/>
      <c r="BC30" s="4"/>
      <c r="BD30" s="4"/>
      <c r="BE30" s="4"/>
    </row>
    <row r="31" spans="1:58" ht="18.75" x14ac:dyDescent="0.3">
      <c r="A31" s="579" t="s">
        <v>55</v>
      </c>
      <c r="B31" s="579"/>
      <c r="C31" s="579"/>
      <c r="D31" s="579"/>
      <c r="E31" s="579"/>
      <c r="F31" s="579"/>
      <c r="G31" s="579"/>
      <c r="H31" s="579"/>
      <c r="I31" s="579"/>
      <c r="J31" s="579"/>
      <c r="K31" s="579"/>
      <c r="L31" s="579"/>
      <c r="M31" s="579"/>
      <c r="N31" s="579"/>
      <c r="O31" s="579"/>
      <c r="P31" s="579"/>
      <c r="Q31" s="579"/>
      <c r="R31" s="579"/>
      <c r="S31" s="54"/>
      <c r="T31" s="54"/>
      <c r="U31" s="26"/>
      <c r="V31" s="27"/>
      <c r="W31" s="27"/>
      <c r="X31" s="27"/>
      <c r="Y31" s="27"/>
      <c r="Z31" s="27"/>
      <c r="AA31" s="27"/>
      <c r="AB31" s="27"/>
      <c r="AC31" s="27"/>
      <c r="AD31" s="27"/>
      <c r="AE31" s="27"/>
      <c r="AF31" s="27"/>
      <c r="AG31" s="27"/>
      <c r="AH31" s="27"/>
      <c r="AI31" s="27"/>
      <c r="AJ31" s="27"/>
      <c r="AK31" s="27"/>
      <c r="AL31" s="28"/>
      <c r="AM31" s="4"/>
      <c r="AN31" s="4"/>
      <c r="AO31" s="4"/>
      <c r="AP31" s="4"/>
      <c r="AQ31" s="4"/>
      <c r="AR31" s="4"/>
      <c r="AS31" s="4"/>
      <c r="AT31" s="4"/>
      <c r="AU31" s="4"/>
      <c r="AV31" s="4"/>
      <c r="AW31" s="4"/>
      <c r="AX31" s="4"/>
      <c r="AY31" s="4"/>
      <c r="AZ31" s="4"/>
      <c r="BA31" s="4"/>
      <c r="BB31" s="4"/>
      <c r="BC31" s="4"/>
      <c r="BD31" s="4"/>
      <c r="BE31" s="4"/>
    </row>
    <row r="32" spans="1:58" ht="63" x14ac:dyDescent="0.25">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7"/>
      <c r="AL32" s="28"/>
      <c r="AM32" s="4"/>
      <c r="AN32" s="4"/>
      <c r="AO32" s="4"/>
      <c r="AP32" s="4"/>
      <c r="AQ32" s="4"/>
      <c r="AR32" s="4"/>
      <c r="AS32" s="4"/>
      <c r="AT32" s="4"/>
      <c r="AU32" s="4"/>
      <c r="AV32" s="4"/>
      <c r="AW32" s="4"/>
      <c r="AX32" s="4"/>
      <c r="AY32" s="4"/>
      <c r="AZ32" s="4"/>
      <c r="BA32" s="4"/>
      <c r="BB32" s="4"/>
      <c r="BC32" s="4"/>
      <c r="BD32" s="4"/>
      <c r="BE32" s="4"/>
    </row>
    <row r="33" spans="1:57" x14ac:dyDescent="0.25">
      <c r="A33" s="59">
        <v>1</v>
      </c>
      <c r="B33" s="60">
        <v>17</v>
      </c>
      <c r="C33" s="60">
        <v>3.8</v>
      </c>
      <c r="D33" s="60">
        <v>504.72</v>
      </c>
      <c r="E33" s="61">
        <f t="shared" ref="E33:E38" si="0">(B33*D33*$B$20*C33)/($B$19*$B$27)</f>
        <v>65.20980531080788</v>
      </c>
      <c r="F33" s="62">
        <v>67.239999999999995</v>
      </c>
      <c r="G33" s="62">
        <v>1.98</v>
      </c>
      <c r="H33" s="63">
        <f t="shared" ref="H33:H38" si="1">F33-G33</f>
        <v>65.259999999999991</v>
      </c>
      <c r="I33" s="64">
        <f t="shared" ref="I33:I38" si="2">(H33*$B$27*$B$19)/ (D33*$B$20*C33)</f>
        <v>17.01308560441484</v>
      </c>
      <c r="J33" s="60">
        <v>206.64</v>
      </c>
      <c r="K33" s="60">
        <v>408.48</v>
      </c>
      <c r="L33" s="60">
        <v>351.96</v>
      </c>
      <c r="M33" s="60">
        <v>786.95</v>
      </c>
      <c r="N33" s="61">
        <v>100</v>
      </c>
      <c r="O33" s="65">
        <f t="shared" ref="O33:P38" si="3">L33-J33</f>
        <v>145.32</v>
      </c>
      <c r="P33" s="61">
        <f t="shared" si="3"/>
        <v>378.47</v>
      </c>
      <c r="Q33" s="61">
        <f t="shared" ref="Q33:Q38" si="4">((O33+P33)/O33)*(D33/(D33+H33))*C33</f>
        <v>12.128478079214043</v>
      </c>
      <c r="R33" s="66">
        <f t="shared" ref="R33:R38" si="5">$B$24/Q33*100</f>
        <v>52.147703222009099</v>
      </c>
      <c r="S33" s="67"/>
      <c r="T33" s="67"/>
      <c r="U33" s="26"/>
      <c r="V33" s="27"/>
      <c r="W33" s="27"/>
      <c r="X33" s="27"/>
      <c r="Y33" s="27"/>
      <c r="Z33" s="27"/>
      <c r="AA33" s="27"/>
      <c r="AB33" s="27"/>
      <c r="AC33" s="27"/>
      <c r="AD33" s="27"/>
      <c r="AE33" s="27"/>
      <c r="AF33" s="27"/>
      <c r="AG33" s="27"/>
      <c r="AH33" s="27"/>
      <c r="AI33" s="27"/>
      <c r="AJ33" s="27"/>
      <c r="AK33" s="27"/>
      <c r="AL33" s="28"/>
      <c r="AM33" s="4"/>
      <c r="AN33" s="4"/>
      <c r="AO33" s="4"/>
      <c r="AP33" s="4"/>
      <c r="AQ33" s="4"/>
      <c r="AR33" s="4"/>
      <c r="AS33" s="4"/>
      <c r="AT33" s="4"/>
      <c r="AU33" s="4"/>
      <c r="AV33" s="4"/>
      <c r="AW33" s="4"/>
      <c r="AX33" s="4"/>
      <c r="AY33" s="4"/>
      <c r="AZ33" s="4"/>
      <c r="BA33" s="4"/>
      <c r="BB33" s="4"/>
      <c r="BC33" s="4"/>
      <c r="BD33" s="4"/>
      <c r="BE33" s="4"/>
    </row>
    <row r="34" spans="1:57" x14ac:dyDescent="0.25">
      <c r="A34" s="59">
        <v>2</v>
      </c>
      <c r="B34" s="60">
        <v>19</v>
      </c>
      <c r="C34" s="60">
        <v>3.8</v>
      </c>
      <c r="D34" s="60">
        <v>503.8</v>
      </c>
      <c r="E34" s="61">
        <f t="shared" si="0"/>
        <v>72.748699150153755</v>
      </c>
      <c r="F34" s="62">
        <v>73.849999999999994</v>
      </c>
      <c r="G34" s="62">
        <v>2.11</v>
      </c>
      <c r="H34" s="68">
        <f t="shared" si="1"/>
        <v>71.739999999999995</v>
      </c>
      <c r="I34" s="64">
        <f t="shared" si="2"/>
        <v>18.736554961438362</v>
      </c>
      <c r="J34" s="60">
        <v>205.76</v>
      </c>
      <c r="K34" s="60">
        <v>407.97</v>
      </c>
      <c r="L34" s="60">
        <v>353.89</v>
      </c>
      <c r="M34" s="60">
        <v>795.38</v>
      </c>
      <c r="N34" s="61">
        <v>100</v>
      </c>
      <c r="O34" s="65">
        <f t="shared" si="3"/>
        <v>148.13</v>
      </c>
      <c r="P34" s="61">
        <f t="shared" si="3"/>
        <v>387.40999999999997</v>
      </c>
      <c r="Q34" s="61">
        <f t="shared" si="4"/>
        <v>12.02583217302444</v>
      </c>
      <c r="R34" s="66">
        <f t="shared" si="5"/>
        <v>52.592807409055418</v>
      </c>
      <c r="S34" s="67"/>
      <c r="T34" s="67"/>
      <c r="U34" s="26"/>
      <c r="V34" s="27"/>
      <c r="W34" s="27"/>
      <c r="X34" s="27"/>
      <c r="Y34" s="27"/>
      <c r="Z34" s="27"/>
      <c r="AA34" s="27"/>
      <c r="AB34" s="27"/>
      <c r="AC34" s="27"/>
      <c r="AD34" s="27"/>
      <c r="AE34" s="27"/>
      <c r="AF34" s="27"/>
      <c r="AG34" s="27"/>
      <c r="AH34" s="27"/>
      <c r="AI34" s="27"/>
      <c r="AJ34" s="27"/>
      <c r="AK34" s="27"/>
      <c r="AL34" s="28"/>
      <c r="AM34" s="4"/>
      <c r="AN34" s="4"/>
      <c r="AO34" s="4"/>
      <c r="AP34" s="4"/>
      <c r="AQ34" s="4"/>
      <c r="AR34" s="4"/>
      <c r="AS34" s="4"/>
      <c r="AT34" s="4"/>
      <c r="AU34" s="4"/>
      <c r="AV34" s="4"/>
      <c r="AW34" s="4"/>
      <c r="AX34" s="4"/>
      <c r="AY34" s="4"/>
      <c r="AZ34" s="4"/>
      <c r="BA34" s="4"/>
      <c r="BB34" s="4"/>
      <c r="BC34" s="4"/>
      <c r="BD34" s="4"/>
      <c r="BE34" s="4"/>
    </row>
    <row r="35" spans="1:57" x14ac:dyDescent="0.25">
      <c r="A35" s="59">
        <v>3</v>
      </c>
      <c r="B35" s="69">
        <v>21.5</v>
      </c>
      <c r="C35" s="60">
        <v>3.8</v>
      </c>
      <c r="D35" s="60">
        <v>501.37</v>
      </c>
      <c r="E35" s="61">
        <f t="shared" si="0"/>
        <v>81.923834520551239</v>
      </c>
      <c r="F35" s="62">
        <v>83.5</v>
      </c>
      <c r="G35" s="62">
        <v>1.9</v>
      </c>
      <c r="H35" s="68">
        <f t="shared" si="1"/>
        <v>81.599999999999994</v>
      </c>
      <c r="I35" s="64">
        <f t="shared" si="2"/>
        <v>21.415013228658076</v>
      </c>
      <c r="J35" s="60">
        <v>159.38</v>
      </c>
      <c r="K35" s="60">
        <v>412.95</v>
      </c>
      <c r="L35" s="60">
        <v>301.77999999999997</v>
      </c>
      <c r="M35" s="60">
        <v>785.76</v>
      </c>
      <c r="N35" s="61">
        <v>100</v>
      </c>
      <c r="O35" s="65">
        <f t="shared" si="3"/>
        <v>142.39999999999998</v>
      </c>
      <c r="P35" s="61">
        <f t="shared" si="3"/>
        <v>372.81</v>
      </c>
      <c r="Q35" s="61">
        <f t="shared" si="4"/>
        <v>11.824152678419477</v>
      </c>
      <c r="R35" s="66">
        <f t="shared" si="5"/>
        <v>53.489860340169315</v>
      </c>
      <c r="S35" s="67"/>
      <c r="T35" s="67"/>
      <c r="U35" s="26"/>
      <c r="V35" s="27"/>
      <c r="W35" s="27"/>
      <c r="X35" s="27"/>
      <c r="Y35" s="27"/>
      <c r="Z35" s="27"/>
      <c r="AA35" s="27"/>
      <c r="AB35" s="27"/>
      <c r="AC35" s="27"/>
      <c r="AD35" s="27"/>
      <c r="AE35" s="27"/>
      <c r="AF35" s="27"/>
      <c r="AG35" s="27"/>
      <c r="AH35" s="27"/>
      <c r="AI35" s="27"/>
      <c r="AJ35" s="27"/>
      <c r="AK35" s="27"/>
      <c r="AL35" s="28"/>
      <c r="AM35" s="4"/>
      <c r="AN35" s="4"/>
      <c r="AO35" s="4"/>
      <c r="AP35" s="4"/>
      <c r="AQ35" s="4"/>
      <c r="AR35" s="4"/>
      <c r="AS35" s="4"/>
      <c r="AT35" s="4"/>
      <c r="AU35" s="4"/>
      <c r="AV35" s="4"/>
      <c r="AW35" s="4"/>
      <c r="AX35" s="4"/>
      <c r="AY35" s="4"/>
      <c r="AZ35" s="4"/>
      <c r="BA35" s="4"/>
      <c r="BB35" s="4"/>
      <c r="BC35" s="4"/>
      <c r="BD35" s="4"/>
      <c r="BE35" s="4"/>
    </row>
    <row r="36" spans="1:57" x14ac:dyDescent="0.25">
      <c r="A36" s="59">
        <v>4</v>
      </c>
      <c r="B36" s="60">
        <v>24</v>
      </c>
      <c r="C36" s="60">
        <v>3.8</v>
      </c>
      <c r="D36" s="60">
        <v>502.76</v>
      </c>
      <c r="E36" s="61">
        <f t="shared" si="0"/>
        <v>91.703397717719128</v>
      </c>
      <c r="F36" s="62">
        <v>92.92</v>
      </c>
      <c r="G36" s="62">
        <v>1.6</v>
      </c>
      <c r="H36" s="68">
        <f t="shared" si="1"/>
        <v>91.320000000000007</v>
      </c>
      <c r="I36" s="64">
        <f t="shared" si="2"/>
        <v>23.899659713224764</v>
      </c>
      <c r="J36" s="60">
        <v>401.68</v>
      </c>
      <c r="K36" s="60">
        <v>399.01</v>
      </c>
      <c r="L36" s="60">
        <v>540.86</v>
      </c>
      <c r="M36" s="60">
        <v>759.18</v>
      </c>
      <c r="N36" s="61">
        <v>100</v>
      </c>
      <c r="O36" s="65">
        <f t="shared" si="3"/>
        <v>139.18</v>
      </c>
      <c r="P36" s="61">
        <f t="shared" si="3"/>
        <v>360.16999999999996</v>
      </c>
      <c r="Q36" s="61">
        <f t="shared" si="4"/>
        <v>11.537922151045363</v>
      </c>
      <c r="R36" s="66">
        <f t="shared" si="5"/>
        <v>54.816826386039828</v>
      </c>
      <c r="S36" s="67"/>
      <c r="T36" s="67"/>
      <c r="U36" s="26"/>
      <c r="V36" s="27"/>
      <c r="W36" s="27"/>
      <c r="X36" s="27"/>
      <c r="Y36" s="27"/>
      <c r="Z36" s="27"/>
      <c r="AA36" s="27"/>
      <c r="AB36" s="27"/>
      <c r="AC36" s="27"/>
      <c r="AD36" s="27"/>
      <c r="AE36" s="27"/>
      <c r="AF36" s="27"/>
      <c r="AG36" s="27"/>
      <c r="AH36" s="27"/>
      <c r="AI36" s="27"/>
      <c r="AJ36" s="27"/>
      <c r="AK36" s="27"/>
      <c r="AL36" s="28"/>
      <c r="AM36" s="4"/>
      <c r="AN36" s="4"/>
      <c r="AO36" s="4"/>
      <c r="AP36" s="4"/>
      <c r="AQ36" s="4"/>
      <c r="AR36" s="4"/>
      <c r="AS36" s="4"/>
      <c r="AT36" s="4"/>
      <c r="AU36" s="4"/>
      <c r="AV36" s="4"/>
      <c r="AW36" s="4"/>
      <c r="AX36" s="4"/>
      <c r="AY36" s="4"/>
      <c r="AZ36" s="4"/>
      <c r="BA36" s="4"/>
      <c r="BB36" s="4"/>
      <c r="BC36" s="4"/>
      <c r="BD36" s="4"/>
      <c r="BE36" s="4"/>
    </row>
    <row r="37" spans="1:57" x14ac:dyDescent="0.25">
      <c r="A37" s="59">
        <v>5</v>
      </c>
      <c r="B37" s="60">
        <v>26.5</v>
      </c>
      <c r="C37" s="60">
        <v>3.8</v>
      </c>
      <c r="D37" s="60">
        <v>500.98</v>
      </c>
      <c r="E37" s="61">
        <f t="shared" si="0"/>
        <v>100.89734308272567</v>
      </c>
      <c r="F37" s="62">
        <v>102.91</v>
      </c>
      <c r="G37" s="62">
        <v>1.62</v>
      </c>
      <c r="H37" s="68">
        <f t="shared" si="1"/>
        <v>101.28999999999999</v>
      </c>
      <c r="I37" s="64">
        <f t="shared" si="2"/>
        <v>26.603128665134808</v>
      </c>
      <c r="J37" s="60">
        <v>509.76</v>
      </c>
      <c r="K37" s="60">
        <v>686.52</v>
      </c>
      <c r="L37" s="60">
        <v>684.82</v>
      </c>
      <c r="M37" s="60">
        <v>1047</v>
      </c>
      <c r="N37" s="61">
        <v>100</v>
      </c>
      <c r="O37" s="65">
        <f t="shared" si="3"/>
        <v>175.06000000000006</v>
      </c>
      <c r="P37" s="61">
        <f t="shared" si="3"/>
        <v>360.48</v>
      </c>
      <c r="Q37" s="61">
        <f t="shared" si="4"/>
        <v>9.669805625193888</v>
      </c>
      <c r="R37" s="66">
        <f t="shared" si="5"/>
        <v>65.406927494141357</v>
      </c>
      <c r="S37" s="67"/>
      <c r="T37" s="67"/>
      <c r="U37" s="26"/>
      <c r="V37" s="27"/>
      <c r="W37" s="27"/>
      <c r="X37" s="27"/>
      <c r="Y37" s="27"/>
      <c r="Z37" s="27"/>
      <c r="AA37" s="27"/>
      <c r="AB37" s="27"/>
      <c r="AC37" s="27"/>
      <c r="AD37" s="27"/>
      <c r="AE37" s="27"/>
      <c r="AF37" s="27"/>
      <c r="AG37" s="27"/>
      <c r="AH37" s="27"/>
      <c r="AI37" s="27"/>
      <c r="AJ37" s="27"/>
      <c r="AK37" s="27"/>
      <c r="AL37" s="28"/>
      <c r="AM37" s="4"/>
      <c r="AN37" s="4"/>
      <c r="AO37" s="4"/>
      <c r="AP37" s="4"/>
      <c r="AQ37" s="4"/>
      <c r="AR37" s="4"/>
      <c r="AS37" s="4"/>
      <c r="AT37" s="4"/>
      <c r="AU37" s="4"/>
      <c r="AV37" s="4"/>
      <c r="AW37" s="4"/>
      <c r="AX37" s="4"/>
      <c r="AY37" s="4"/>
      <c r="AZ37" s="4"/>
      <c r="BA37" s="4"/>
      <c r="BB37" s="4"/>
      <c r="BC37" s="4"/>
      <c r="BD37" s="4"/>
      <c r="BE37" s="4"/>
    </row>
    <row r="38" spans="1:57" x14ac:dyDescent="0.25">
      <c r="A38" s="70">
        <v>6</v>
      </c>
      <c r="B38" s="71">
        <v>29</v>
      </c>
      <c r="C38" s="71">
        <v>3.8</v>
      </c>
      <c r="D38" s="71">
        <v>504.06</v>
      </c>
      <c r="E38" s="72">
        <f t="shared" si="0"/>
        <v>111.09479216012707</v>
      </c>
      <c r="F38" s="73">
        <v>112.85</v>
      </c>
      <c r="G38" s="73">
        <v>1.22</v>
      </c>
      <c r="H38" s="68">
        <f t="shared" si="1"/>
        <v>111.63</v>
      </c>
      <c r="I38" s="64">
        <f t="shared" si="2"/>
        <v>29.139709765458161</v>
      </c>
      <c r="J38" s="60">
        <v>443.26</v>
      </c>
      <c r="K38" s="60">
        <v>361.64</v>
      </c>
      <c r="L38" s="71">
        <v>571.17999999999995</v>
      </c>
      <c r="M38" s="71">
        <v>741</v>
      </c>
      <c r="N38" s="61">
        <v>100</v>
      </c>
      <c r="O38" s="65">
        <f t="shared" si="3"/>
        <v>127.91999999999996</v>
      </c>
      <c r="P38" s="61">
        <f t="shared" si="3"/>
        <v>379.36</v>
      </c>
      <c r="Q38" s="61">
        <f t="shared" si="4"/>
        <v>12.337098190632654</v>
      </c>
      <c r="R38" s="66">
        <f t="shared" si="5"/>
        <v>51.265886486152965</v>
      </c>
      <c r="S38" s="67"/>
      <c r="T38" s="67"/>
      <c r="U38" s="26"/>
      <c r="V38" s="27"/>
      <c r="W38" s="27"/>
      <c r="X38" s="27"/>
      <c r="Y38" s="27"/>
      <c r="Z38" s="27"/>
      <c r="AA38" s="27"/>
      <c r="AB38" s="27"/>
      <c r="AC38" s="27"/>
      <c r="AD38" s="27"/>
      <c r="AE38" s="27"/>
      <c r="AF38" s="27"/>
      <c r="AG38" s="27"/>
      <c r="AH38" s="27"/>
      <c r="AI38" s="27"/>
      <c r="AJ38" s="27"/>
      <c r="AK38" s="27"/>
      <c r="AL38" s="28"/>
      <c r="AM38" s="4"/>
      <c r="AN38" s="4"/>
      <c r="AO38" s="4"/>
      <c r="AP38" s="4"/>
      <c r="AQ38" s="4"/>
      <c r="AR38" s="4"/>
      <c r="AS38" s="4"/>
      <c r="AT38" s="4"/>
      <c r="AU38" s="4"/>
      <c r="AV38" s="4"/>
      <c r="AW38" s="4"/>
      <c r="AX38" s="4"/>
      <c r="AY38" s="4"/>
      <c r="AZ38" s="4"/>
      <c r="BA38" s="4"/>
      <c r="BB38" s="4"/>
      <c r="BC38" s="4"/>
      <c r="BD38" s="4"/>
      <c r="BE38" s="4"/>
    </row>
    <row r="39" spans="1:57" x14ac:dyDescent="0.25">
      <c r="A39" s="70"/>
      <c r="B39" s="71"/>
      <c r="C39" s="71"/>
      <c r="D39" s="71"/>
      <c r="E39" s="72"/>
      <c r="F39" s="73"/>
      <c r="G39" s="73"/>
      <c r="H39" s="505"/>
      <c r="I39" s="506"/>
      <c r="J39" s="71"/>
      <c r="K39" s="71"/>
      <c r="L39" s="71"/>
      <c r="M39" s="71"/>
      <c r="N39" s="72"/>
      <c r="O39" s="507"/>
      <c r="P39" s="72"/>
      <c r="Q39" s="72"/>
      <c r="R39" s="72"/>
      <c r="S39" s="67"/>
      <c r="T39" s="67"/>
      <c r="U39" s="26"/>
      <c r="V39" s="27"/>
      <c r="W39" s="27"/>
      <c r="X39" s="27"/>
      <c r="Y39" s="27"/>
      <c r="Z39" s="27"/>
      <c r="AA39" s="27"/>
      <c r="AB39" s="27"/>
      <c r="AC39" s="27"/>
      <c r="AD39" s="27"/>
      <c r="AE39" s="27"/>
      <c r="AF39" s="27"/>
      <c r="AG39" s="27"/>
      <c r="AH39" s="27"/>
      <c r="AI39" s="27"/>
      <c r="AJ39" s="27"/>
      <c r="AK39" s="27"/>
      <c r="AL39" s="28"/>
      <c r="AM39" s="4"/>
      <c r="AN39" s="4"/>
      <c r="AO39" s="4"/>
      <c r="AP39" s="4"/>
      <c r="AQ39" s="4"/>
      <c r="AR39" s="4"/>
      <c r="AS39" s="4"/>
      <c r="AT39" s="4"/>
      <c r="AU39" s="4"/>
      <c r="AV39" s="4"/>
      <c r="AW39" s="4"/>
      <c r="AX39" s="4"/>
      <c r="AY39" s="4"/>
      <c r="AZ39" s="4"/>
      <c r="BA39" s="4"/>
      <c r="BB39" s="4"/>
      <c r="BC39" s="4"/>
      <c r="BD39" s="4"/>
      <c r="BE39" s="4"/>
    </row>
    <row r="40" spans="1:57" ht="18" customHeight="1" x14ac:dyDescent="0.3">
      <c r="A40" s="580" t="s">
        <v>74</v>
      </c>
      <c r="B40" s="580"/>
      <c r="C40" s="580"/>
      <c r="D40" s="580"/>
      <c r="E40" s="580"/>
      <c r="F40" s="580"/>
      <c r="G40" s="580"/>
      <c r="H40" s="580"/>
      <c r="I40" s="580"/>
      <c r="J40" s="580"/>
      <c r="K40" s="580"/>
      <c r="L40" s="580"/>
      <c r="M40" s="580"/>
      <c r="N40" s="4"/>
      <c r="O40" s="4"/>
      <c r="P40" s="4"/>
      <c r="Q40" s="4"/>
      <c r="R40" s="4">
        <v>0</v>
      </c>
      <c r="S40" s="4"/>
      <c r="T40" s="4"/>
      <c r="U40" s="26"/>
      <c r="V40" s="27"/>
      <c r="W40" s="27"/>
      <c r="X40" s="27"/>
      <c r="Y40" s="27"/>
      <c r="Z40" s="27"/>
      <c r="AA40" s="27"/>
      <c r="AB40" s="27"/>
      <c r="AC40" s="27"/>
      <c r="AD40" s="27"/>
      <c r="AE40" s="27"/>
      <c r="AF40" s="27"/>
      <c r="AG40" s="27"/>
      <c r="AH40" s="27"/>
      <c r="AI40" s="27"/>
      <c r="AJ40" s="27"/>
      <c r="AK40" s="27"/>
      <c r="AL40" s="28"/>
      <c r="AM40" s="4"/>
      <c r="AN40" s="4"/>
      <c r="AO40" s="4"/>
      <c r="AP40" s="4"/>
      <c r="AQ40" s="4"/>
      <c r="AR40" s="4"/>
      <c r="AS40" s="4"/>
      <c r="AT40" s="4"/>
      <c r="AU40" s="4"/>
      <c r="AV40" s="4"/>
      <c r="AW40" s="4"/>
      <c r="AX40" s="4"/>
      <c r="AY40" s="4"/>
      <c r="AZ40" s="4"/>
      <c r="BA40" s="4"/>
      <c r="BB40" s="4"/>
      <c r="BC40" s="4"/>
      <c r="BD40" s="4"/>
      <c r="BE40" s="4"/>
    </row>
    <row r="41" spans="1:57" ht="15.75" customHeight="1" x14ac:dyDescent="0.25">
      <c r="A41" s="56" t="s">
        <v>56</v>
      </c>
      <c r="B41" s="56" t="s">
        <v>75</v>
      </c>
      <c r="C41" s="57" t="s">
        <v>76</v>
      </c>
      <c r="D41" s="581" t="s">
        <v>77</v>
      </c>
      <c r="E41" s="581"/>
      <c r="F41" s="581"/>
      <c r="G41" s="581"/>
      <c r="H41" s="581"/>
      <c r="I41" s="582" t="s">
        <v>78</v>
      </c>
      <c r="J41" s="582"/>
      <c r="K41" s="582"/>
      <c r="L41" s="582"/>
      <c r="M41" s="582"/>
      <c r="N41" s="4"/>
      <c r="O41" s="4"/>
      <c r="P41" s="4"/>
      <c r="Q41" s="4"/>
      <c r="R41" s="4"/>
      <c r="S41" s="4"/>
      <c r="T41" s="4"/>
      <c r="U41" s="26"/>
      <c r="V41" s="27"/>
      <c r="W41" s="27"/>
      <c r="X41" s="27"/>
      <c r="Y41" s="27"/>
      <c r="Z41" s="27"/>
      <c r="AA41" s="27"/>
      <c r="AB41" s="27"/>
      <c r="AC41" s="27"/>
      <c r="AD41" s="27"/>
      <c r="AE41" s="27"/>
      <c r="AF41" s="27"/>
      <c r="AG41" s="27"/>
      <c r="AH41" s="27"/>
      <c r="AI41" s="27"/>
      <c r="AJ41" s="27"/>
      <c r="AK41" s="27"/>
      <c r="AL41" s="28"/>
      <c r="AM41" s="4"/>
      <c r="AN41" s="4"/>
      <c r="AO41" s="4"/>
      <c r="AP41" s="4"/>
      <c r="AQ41" s="4"/>
      <c r="AR41" s="4"/>
      <c r="AS41" s="4"/>
      <c r="AT41" s="4"/>
      <c r="AU41" s="4"/>
      <c r="AV41" s="4"/>
      <c r="AW41" s="4"/>
      <c r="AX41" s="4"/>
      <c r="AY41" s="4"/>
      <c r="AZ41" s="4"/>
      <c r="BA41" s="4"/>
      <c r="BB41" s="4"/>
      <c r="BC41" s="4"/>
      <c r="BD41" s="4"/>
      <c r="BE41" s="4"/>
    </row>
    <row r="42" spans="1:57" x14ac:dyDescent="0.25">
      <c r="A42" s="74">
        <v>1</v>
      </c>
      <c r="B42" s="75">
        <f>AVERAGE(D42:H42)</f>
        <v>121.6</v>
      </c>
      <c r="C42" s="76">
        <f>AVERAGE(I42:K42)</f>
        <v>47.966666666666669</v>
      </c>
      <c r="D42" s="77"/>
      <c r="E42" s="78"/>
      <c r="F42" s="78">
        <v>128.9</v>
      </c>
      <c r="G42" s="78">
        <v>114.3</v>
      </c>
      <c r="H42" s="79"/>
      <c r="I42" s="80">
        <v>42.7</v>
      </c>
      <c r="J42" s="81">
        <v>54.6</v>
      </c>
      <c r="K42" s="81">
        <v>46.6</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7"/>
      <c r="AL42" s="28"/>
      <c r="AM42" s="4"/>
      <c r="AN42" s="4"/>
      <c r="AO42" s="4"/>
      <c r="AP42" s="4"/>
      <c r="AQ42" s="4"/>
      <c r="AR42" s="4"/>
      <c r="AS42" s="4"/>
      <c r="AT42" s="4"/>
      <c r="AU42" s="4"/>
      <c r="AV42" s="4"/>
      <c r="AW42" s="4"/>
      <c r="AX42" s="4"/>
      <c r="AY42" s="4"/>
      <c r="AZ42" s="4"/>
      <c r="BA42" s="4"/>
      <c r="BB42" s="4"/>
      <c r="BC42" s="4"/>
      <c r="BD42" s="4"/>
      <c r="BE42" s="4"/>
    </row>
    <row r="43" spans="1:57" x14ac:dyDescent="0.25">
      <c r="A43" s="74">
        <v>2</v>
      </c>
      <c r="B43" s="75">
        <f>AVERAGE(D43:H43)</f>
        <v>114.43333333333334</v>
      </c>
      <c r="C43" s="76">
        <f>AVERAGE(I43:K43)</f>
        <v>45.05</v>
      </c>
      <c r="D43" s="80">
        <v>91.6</v>
      </c>
      <c r="E43" s="81">
        <v>133</v>
      </c>
      <c r="F43" s="81">
        <v>118.7</v>
      </c>
      <c r="G43" s="81"/>
      <c r="H43" s="82"/>
      <c r="I43" s="80">
        <v>41.8</v>
      </c>
      <c r="J43" s="81"/>
      <c r="K43" s="81">
        <v>48.3</v>
      </c>
      <c r="L43" s="81"/>
      <c r="M43" s="82"/>
      <c r="N43" s="4"/>
      <c r="O43" s="4"/>
      <c r="P43" s="4"/>
      <c r="Q43" s="4"/>
      <c r="R43" s="4"/>
      <c r="S43" s="4"/>
      <c r="T43" s="4"/>
      <c r="U43" s="26"/>
      <c r="V43" s="27"/>
      <c r="W43" s="27"/>
      <c r="X43" s="27"/>
      <c r="Y43" s="27"/>
      <c r="Z43" s="27"/>
      <c r="AA43" s="27"/>
      <c r="AB43" s="27"/>
      <c r="AC43" s="27"/>
      <c r="AD43" s="83"/>
      <c r="AE43" s="83"/>
      <c r="AF43" s="83"/>
      <c r="AG43" s="83"/>
      <c r="AH43" s="83"/>
      <c r="AI43" s="83"/>
      <c r="AJ43" s="83"/>
      <c r="AK43" s="83"/>
      <c r="AL43" s="84"/>
      <c r="AM43" s="4"/>
      <c r="AN43" s="4"/>
      <c r="AO43" s="4"/>
      <c r="AP43" s="4"/>
      <c r="AQ43" s="4"/>
      <c r="AR43" s="4"/>
      <c r="AS43" s="4"/>
      <c r="AT43" s="4"/>
      <c r="AU43" s="4"/>
      <c r="AV43" s="4"/>
      <c r="AW43" s="4"/>
      <c r="AX43" s="4"/>
      <c r="AY43" s="4"/>
      <c r="AZ43" s="4"/>
      <c r="BA43" s="4"/>
      <c r="BB43" s="4"/>
      <c r="BC43" s="4"/>
      <c r="BD43" s="4"/>
      <c r="BE43" s="4"/>
    </row>
    <row r="44" spans="1:57" ht="34.5" customHeight="1" x14ac:dyDescent="0.25">
      <c r="A44" s="74">
        <v>3</v>
      </c>
      <c r="B44" s="75">
        <f>AVERAGE(D44:F44)</f>
        <v>55.6</v>
      </c>
      <c r="C44" s="76">
        <f>AVERAGE(I44:K44)</f>
        <v>43.933333333333337</v>
      </c>
      <c r="D44" s="80"/>
      <c r="E44" s="81">
        <v>52.7</v>
      </c>
      <c r="F44" s="81">
        <v>58.5</v>
      </c>
      <c r="G44" s="81">
        <v>65</v>
      </c>
      <c r="H44" s="82"/>
      <c r="I44" s="80">
        <v>42.9</v>
      </c>
      <c r="J44" s="81">
        <v>39.700000000000003</v>
      </c>
      <c r="K44" s="81">
        <v>49.2</v>
      </c>
      <c r="L44" s="81"/>
      <c r="M44" s="82"/>
      <c r="N44" s="4"/>
      <c r="O44" s="4"/>
      <c r="P44" s="4"/>
      <c r="Q44" s="4"/>
      <c r="R44" s="4"/>
      <c r="S44" s="4"/>
      <c r="T44" s="4"/>
      <c r="U44" s="583" t="s">
        <v>79</v>
      </c>
      <c r="V44" s="583"/>
      <c r="W44" s="583"/>
      <c r="X44" s="583"/>
      <c r="Y44" s="583"/>
      <c r="Z44" s="583"/>
      <c r="AA44" s="583"/>
      <c r="AB44" s="583"/>
      <c r="AC44" s="583"/>
      <c r="AD44" s="584" t="s">
        <v>80</v>
      </c>
      <c r="AE44" s="584"/>
      <c r="AF44" s="584"/>
      <c r="AG44" s="584"/>
      <c r="AH44" s="584"/>
      <c r="AI44" s="584"/>
      <c r="AJ44" s="584"/>
      <c r="AK44" s="584"/>
      <c r="AL44" s="584"/>
      <c r="AM44" s="4"/>
      <c r="AN44" s="4"/>
      <c r="AO44" s="4"/>
      <c r="AP44" s="4"/>
      <c r="AQ44" s="4"/>
      <c r="AR44" s="4"/>
      <c r="AS44" s="4"/>
      <c r="AT44" s="4"/>
      <c r="AU44" s="4"/>
      <c r="AV44" s="4"/>
      <c r="AW44" s="4"/>
      <c r="AX44" s="4"/>
      <c r="AY44" s="4"/>
      <c r="AZ44" s="4"/>
      <c r="BA44" s="4"/>
      <c r="BB44" s="4"/>
      <c r="BC44" s="4"/>
      <c r="BD44" s="4"/>
      <c r="BE44" s="4"/>
    </row>
    <row r="45" spans="1:57" ht="15.75" customHeight="1" x14ac:dyDescent="0.25">
      <c r="A45" s="74">
        <v>4</v>
      </c>
      <c r="B45" s="75">
        <f>AVERAGE(D45:F45)</f>
        <v>49.2</v>
      </c>
      <c r="C45" s="76">
        <f>AVERAGE(I45:K45)</f>
        <v>39.800000000000004</v>
      </c>
      <c r="D45" s="80">
        <v>54.4</v>
      </c>
      <c r="E45" s="81">
        <v>44</v>
      </c>
      <c r="F45" s="81"/>
      <c r="G45" s="81"/>
      <c r="H45" s="82">
        <v>67</v>
      </c>
      <c r="I45" s="80">
        <v>37.700000000000003</v>
      </c>
      <c r="J45" s="81">
        <v>37.1</v>
      </c>
      <c r="K45" s="81">
        <v>44.6</v>
      </c>
      <c r="L45" s="81"/>
      <c r="M45" s="82"/>
      <c r="N45" s="4"/>
      <c r="O45" s="4"/>
      <c r="P45" s="4"/>
      <c r="Q45" s="4"/>
      <c r="R45" s="4"/>
      <c r="S45" s="4"/>
      <c r="T45" s="4"/>
      <c r="U45" s="583"/>
      <c r="V45" s="583"/>
      <c r="W45" s="583"/>
      <c r="X45" s="583"/>
      <c r="Y45" s="583"/>
      <c r="Z45" s="583"/>
      <c r="AA45" s="583"/>
      <c r="AB45" s="583"/>
      <c r="AC45" s="583"/>
      <c r="AD45" s="584"/>
      <c r="AE45" s="584"/>
      <c r="AF45" s="584"/>
      <c r="AG45" s="584"/>
      <c r="AH45" s="584"/>
      <c r="AI45" s="584"/>
      <c r="AJ45" s="584"/>
      <c r="AK45" s="584"/>
      <c r="AL45" s="584"/>
      <c r="AM45" s="4"/>
      <c r="AN45" s="4"/>
      <c r="AO45" s="4"/>
      <c r="AP45" s="4"/>
      <c r="AQ45" s="4"/>
      <c r="AR45" s="4"/>
      <c r="AS45" s="4"/>
      <c r="AT45" s="4"/>
      <c r="AU45" s="4"/>
      <c r="AV45" s="4"/>
      <c r="AW45" s="4"/>
      <c r="AX45" s="4"/>
      <c r="AY45" s="4"/>
      <c r="AZ45" s="4"/>
      <c r="BA45" s="4"/>
      <c r="BB45" s="4"/>
      <c r="BC45" s="4"/>
      <c r="BD45" s="4"/>
      <c r="BE45" s="4"/>
    </row>
    <row r="46" spans="1:57" ht="15.75" customHeight="1" x14ac:dyDescent="0.25">
      <c r="A46" s="74">
        <v>5</v>
      </c>
      <c r="B46" s="75">
        <f>AVERAGE(E46:H46)</f>
        <v>40.549999999999997</v>
      </c>
      <c r="C46" s="76">
        <f>AVERAGE(I46:K46)</f>
        <v>34.049999999999997</v>
      </c>
      <c r="D46" s="81">
        <v>42.1</v>
      </c>
      <c r="E46" s="81">
        <v>41.7</v>
      </c>
      <c r="F46" s="82">
        <v>39.4</v>
      </c>
      <c r="G46" s="82"/>
      <c r="H46" s="82"/>
      <c r="I46" s="80">
        <v>33.1</v>
      </c>
      <c r="J46" s="81"/>
      <c r="K46" s="81">
        <v>35</v>
      </c>
      <c r="L46" s="81"/>
      <c r="M46" s="82">
        <v>43.7</v>
      </c>
      <c r="N46" s="4"/>
      <c r="O46" s="4"/>
      <c r="P46" s="4"/>
      <c r="Q46" s="4"/>
      <c r="R46" s="4"/>
      <c r="S46" s="4"/>
      <c r="T46" s="4"/>
      <c r="U46" s="26"/>
      <c r="V46" s="27"/>
      <c r="W46" s="27"/>
      <c r="X46" s="27"/>
      <c r="Y46" s="27"/>
      <c r="Z46" s="27"/>
      <c r="AA46" s="27"/>
      <c r="AB46" s="27"/>
      <c r="AC46" s="85"/>
      <c r="AD46" s="27"/>
      <c r="AE46" s="27"/>
      <c r="AF46" s="27"/>
      <c r="AG46" s="27"/>
      <c r="AH46" s="27"/>
      <c r="AI46" s="27"/>
      <c r="AJ46" s="27"/>
      <c r="AK46" s="27"/>
      <c r="AL46" s="86"/>
      <c r="AM46" s="4"/>
      <c r="AN46" s="4"/>
      <c r="AO46" s="4"/>
      <c r="AP46" s="4"/>
      <c r="AQ46" s="4"/>
      <c r="AR46" s="4"/>
      <c r="AS46" s="4"/>
      <c r="AT46" s="4"/>
      <c r="AU46" s="4"/>
      <c r="AV46" s="4"/>
      <c r="AW46" s="4"/>
      <c r="AX46" s="4"/>
      <c r="AY46" s="4"/>
      <c r="AZ46" s="4"/>
      <c r="BA46" s="4"/>
      <c r="BB46" s="4"/>
      <c r="BC46" s="4"/>
      <c r="BD46" s="4"/>
      <c r="BE46" s="4"/>
    </row>
    <row r="47" spans="1:57" ht="15.75" customHeight="1" x14ac:dyDescent="0.25">
      <c r="A47" s="74">
        <v>6</v>
      </c>
      <c r="B47" s="75">
        <f>AVERAGE(D47:F47)</f>
        <v>39.833333333333336</v>
      </c>
      <c r="C47" s="76">
        <f>AVERAGE(I47:M47)</f>
        <v>24.033333333333331</v>
      </c>
      <c r="D47" s="80">
        <v>39</v>
      </c>
      <c r="E47" s="81">
        <v>41</v>
      </c>
      <c r="F47" s="81">
        <v>39.5</v>
      </c>
      <c r="G47" s="81"/>
      <c r="H47" s="82"/>
      <c r="I47" s="80">
        <v>28.7</v>
      </c>
      <c r="J47" s="81">
        <v>22.4</v>
      </c>
      <c r="K47" s="81">
        <v>21</v>
      </c>
      <c r="L47" s="81"/>
      <c r="M47" s="82"/>
      <c r="N47" s="4"/>
      <c r="O47" s="4"/>
      <c r="P47" s="4"/>
      <c r="Q47" s="4"/>
      <c r="R47" s="4"/>
      <c r="S47" s="4"/>
      <c r="T47" s="4"/>
      <c r="U47" s="26"/>
      <c r="V47" s="27"/>
      <c r="W47" s="27"/>
      <c r="X47" s="27"/>
      <c r="Y47" s="27"/>
      <c r="Z47" s="27"/>
      <c r="AA47" s="27"/>
      <c r="AB47" s="27"/>
      <c r="AC47" s="85"/>
      <c r="AD47" s="27"/>
      <c r="AE47" s="27"/>
      <c r="AF47" s="27"/>
      <c r="AG47" s="27"/>
      <c r="AH47" s="27"/>
      <c r="AI47" s="27"/>
      <c r="AJ47" s="27"/>
      <c r="AK47" s="27"/>
      <c r="AL47" s="86"/>
      <c r="AM47" s="4"/>
      <c r="AN47" s="4"/>
      <c r="AO47" s="4"/>
      <c r="AP47" s="4"/>
      <c r="AQ47" s="4"/>
      <c r="AR47" s="4"/>
      <c r="AS47" s="4"/>
      <c r="AT47" s="4"/>
      <c r="AU47" s="4"/>
      <c r="AV47" s="4"/>
      <c r="AW47" s="4"/>
      <c r="AX47" s="4"/>
      <c r="AY47" s="4"/>
      <c r="AZ47" s="4"/>
      <c r="BA47" s="4"/>
      <c r="BB47" s="4"/>
      <c r="BC47" s="4"/>
      <c r="BD47" s="4"/>
      <c r="BE47" s="4"/>
    </row>
    <row r="48" spans="1:57" ht="15.75" customHeight="1" x14ac:dyDescent="0.25">
      <c r="A48" s="508"/>
      <c r="B48" s="509"/>
      <c r="C48" s="509"/>
      <c r="D48" s="510"/>
      <c r="E48" s="511"/>
      <c r="F48" s="511"/>
      <c r="G48" s="511"/>
      <c r="H48" s="511"/>
      <c r="I48" s="510"/>
      <c r="J48" s="511"/>
      <c r="K48" s="511"/>
      <c r="L48" s="511"/>
      <c r="M48" s="511"/>
      <c r="N48" s="4"/>
      <c r="O48" s="4"/>
      <c r="P48" s="4"/>
      <c r="Q48" s="4"/>
      <c r="R48" s="4"/>
      <c r="S48" s="4"/>
      <c r="T48" s="4"/>
      <c r="U48" s="26"/>
      <c r="V48" s="27"/>
      <c r="W48" s="27"/>
      <c r="X48" s="27"/>
      <c r="Y48" s="27"/>
      <c r="Z48" s="27"/>
      <c r="AA48" s="27"/>
      <c r="AB48" s="27"/>
      <c r="AC48" s="85"/>
      <c r="AD48" s="27"/>
      <c r="AE48" s="27"/>
      <c r="AF48" s="27"/>
      <c r="AG48" s="27"/>
      <c r="AH48" s="27"/>
      <c r="AI48" s="27"/>
      <c r="AJ48" s="27"/>
      <c r="AK48" s="27"/>
      <c r="AL48" s="86"/>
      <c r="AM48" s="4"/>
      <c r="AN48" s="4"/>
      <c r="AO48" s="4"/>
      <c r="AP48" s="4"/>
      <c r="AQ48" s="4"/>
      <c r="AR48" s="4"/>
      <c r="AS48" s="4"/>
      <c r="AT48" s="4"/>
      <c r="AU48" s="4"/>
      <c r="AV48" s="4"/>
      <c r="AW48" s="4"/>
      <c r="AX48" s="4"/>
      <c r="AY48" s="4"/>
      <c r="AZ48" s="4"/>
      <c r="BA48" s="4"/>
      <c r="BB48" s="4"/>
      <c r="BC48" s="4"/>
      <c r="BD48" s="4"/>
      <c r="BE48" s="4"/>
    </row>
    <row r="49" spans="1:58" ht="21" customHeight="1" x14ac:dyDescent="0.25">
      <c r="A49" s="585" t="s">
        <v>82</v>
      </c>
      <c r="B49" s="585"/>
      <c r="C49" s="585"/>
      <c r="D49" s="585"/>
      <c r="E49" s="585"/>
      <c r="F49" s="585"/>
      <c r="G49" s="585"/>
      <c r="H49" s="585"/>
      <c r="I49" s="585"/>
      <c r="J49" s="585"/>
      <c r="K49" s="585"/>
      <c r="L49" s="585"/>
      <c r="M49" s="585"/>
      <c r="N49" s="585"/>
      <c r="O49" s="585"/>
      <c r="P49" s="585"/>
      <c r="Q49" s="4"/>
      <c r="R49" s="4"/>
      <c r="S49" s="4"/>
      <c r="T49" s="4"/>
      <c r="U49" s="26"/>
      <c r="V49" s="27"/>
      <c r="W49" s="27"/>
      <c r="X49" s="1"/>
      <c r="Y49" s="1" t="s">
        <v>18</v>
      </c>
      <c r="Z49" s="1" t="s">
        <v>83</v>
      </c>
      <c r="AA49" s="27"/>
      <c r="AB49" s="27"/>
      <c r="AC49" s="85"/>
      <c r="AD49" s="27"/>
      <c r="AE49" s="27"/>
      <c r="AF49" s="27"/>
      <c r="AG49" s="27"/>
      <c r="AH49" s="27"/>
      <c r="AI49" s="27"/>
      <c r="AJ49" s="27"/>
      <c r="AK49" s="27"/>
      <c r="AL49" s="86"/>
      <c r="AM49" s="4"/>
      <c r="AN49" s="4"/>
      <c r="AO49" s="4"/>
      <c r="AP49" s="4"/>
      <c r="AQ49" s="4"/>
      <c r="AR49" s="4"/>
      <c r="AS49" s="4"/>
      <c r="AT49" s="4"/>
      <c r="AU49" s="4"/>
      <c r="AV49" s="4"/>
      <c r="AW49" s="4"/>
      <c r="AX49" s="4"/>
      <c r="AY49" s="4"/>
      <c r="AZ49" s="4"/>
      <c r="BA49" s="4"/>
      <c r="BB49" s="4"/>
      <c r="BC49" s="4"/>
      <c r="BD49" s="4"/>
      <c r="BE49" s="4"/>
    </row>
    <row r="50" spans="1:58" ht="21.75" customHeight="1" x14ac:dyDescent="0.25">
      <c r="A50" s="55" t="s">
        <v>84</v>
      </c>
      <c r="B50" s="56" t="s">
        <v>85</v>
      </c>
      <c r="C50" s="56" t="s">
        <v>86</v>
      </c>
      <c r="D50" s="56" t="s">
        <v>87</v>
      </c>
      <c r="E50" s="56" t="s">
        <v>88</v>
      </c>
      <c r="F50" s="56" t="s">
        <v>89</v>
      </c>
      <c r="G50" s="56" t="s">
        <v>90</v>
      </c>
      <c r="H50" s="56" t="s">
        <v>91</v>
      </c>
      <c r="I50" s="56" t="s">
        <v>92</v>
      </c>
      <c r="J50" s="56" t="s">
        <v>93</v>
      </c>
      <c r="K50" s="56" t="s">
        <v>94</v>
      </c>
      <c r="L50" s="56" t="s">
        <v>95</v>
      </c>
      <c r="M50" s="56" t="s">
        <v>96</v>
      </c>
      <c r="N50" s="56" t="s">
        <v>97</v>
      </c>
      <c r="O50" s="56" t="s">
        <v>98</v>
      </c>
      <c r="P50" s="87" t="s">
        <v>99</v>
      </c>
      <c r="Q50" s="4"/>
      <c r="R50" s="4"/>
      <c r="S50" s="4"/>
      <c r="T50" s="4"/>
      <c r="U50" s="26"/>
      <c r="V50" s="27"/>
      <c r="W50" s="27"/>
      <c r="X50" s="88" t="s">
        <v>100</v>
      </c>
      <c r="Y50" s="88" t="s">
        <v>101</v>
      </c>
      <c r="Z50" s="88" t="s">
        <v>34</v>
      </c>
      <c r="AA50" s="27"/>
      <c r="AB50" s="27"/>
      <c r="AC50" s="85"/>
      <c r="AD50" s="27"/>
      <c r="AE50" s="27"/>
      <c r="AF50" s="27"/>
      <c r="AG50" s="27"/>
      <c r="AH50" s="27"/>
      <c r="AI50" s="27"/>
      <c r="AJ50" s="27"/>
      <c r="AK50" s="27"/>
      <c r="AL50" s="86"/>
      <c r="AM50" s="4"/>
      <c r="AN50" s="4"/>
      <c r="AO50" s="4"/>
      <c r="AP50" s="4"/>
      <c r="AQ50" s="4"/>
      <c r="AR50" s="4"/>
      <c r="AS50" s="4"/>
      <c r="AT50" s="4"/>
      <c r="AU50" s="4"/>
      <c r="AV50" s="4"/>
      <c r="AW50" s="4"/>
      <c r="AX50" s="4"/>
      <c r="AY50" s="4"/>
      <c r="AZ50" s="4"/>
      <c r="BA50" s="4"/>
      <c r="BB50" s="4"/>
      <c r="BC50" s="4"/>
      <c r="BD50" s="4"/>
      <c r="BE50" s="4"/>
    </row>
    <row r="51" spans="1:58" ht="21" customHeight="1" x14ac:dyDescent="0.25">
      <c r="A51" s="89">
        <v>1</v>
      </c>
      <c r="B51" s="90">
        <v>1.0935999999999999</v>
      </c>
      <c r="C51" s="90">
        <v>1.0981000000000001</v>
      </c>
      <c r="D51" s="47">
        <v>10</v>
      </c>
      <c r="E51" s="47">
        <v>10</v>
      </c>
      <c r="F51" s="91">
        <v>1.105</v>
      </c>
      <c r="G51" s="91">
        <v>1.1105</v>
      </c>
      <c r="H51" s="47">
        <v>1</v>
      </c>
      <c r="I51" s="92">
        <f t="shared" ref="I51:I57" si="6">(F51-B51)*1000*H51/D51</f>
        <v>1.1400000000000077</v>
      </c>
      <c r="J51" s="92">
        <f t="shared" ref="J51:J57" si="7">(G51-C51)*1000*H51/E51</f>
        <v>1.2399999999999967</v>
      </c>
      <c r="K51" s="93">
        <f t="shared" ref="K51:K57" si="8">AVERAGE(I51:J51)</f>
        <v>1.1900000000000022</v>
      </c>
      <c r="L51" s="81">
        <v>1.0952</v>
      </c>
      <c r="M51" s="81">
        <v>1.1002000000000001</v>
      </c>
      <c r="N51" s="94">
        <f t="shared" ref="N51:N57" si="9">(F51-L51)/E51*1000000</f>
        <v>980.00000000000296</v>
      </c>
      <c r="O51" s="50">
        <f t="shared" ref="O51:O57" si="10">(G51-M51)/E51*1000000</f>
        <v>1029.9999999999975</v>
      </c>
      <c r="P51" s="95">
        <f t="shared" ref="P51:P57" si="11">AVERAGE(N51:O51)</f>
        <v>1005.0000000000002</v>
      </c>
      <c r="Q51" s="4"/>
      <c r="R51" s="4"/>
      <c r="S51" s="4"/>
      <c r="T51" s="4"/>
      <c r="U51" s="26"/>
      <c r="V51" s="27"/>
      <c r="W51" s="27"/>
      <c r="X51" s="88"/>
      <c r="Y51" s="88" t="s">
        <v>102</v>
      </c>
      <c r="Z51" s="88" t="s">
        <v>103</v>
      </c>
      <c r="AA51" s="27"/>
      <c r="AB51" s="27"/>
      <c r="AC51" s="85"/>
      <c r="AD51" s="27"/>
      <c r="AE51" s="27"/>
      <c r="AF51" s="27"/>
      <c r="AG51" s="27"/>
      <c r="AH51" s="27"/>
      <c r="AI51" s="27"/>
      <c r="AJ51" s="27"/>
      <c r="AK51" s="27"/>
      <c r="AL51" s="86"/>
      <c r="AM51" s="4"/>
      <c r="AN51" s="4"/>
      <c r="AO51" s="4"/>
      <c r="AP51" s="4"/>
      <c r="AQ51" s="4"/>
      <c r="AR51" s="4"/>
      <c r="AS51" s="4"/>
      <c r="AT51" s="4"/>
      <c r="AU51" s="4"/>
      <c r="AV51" s="4"/>
      <c r="AW51" s="4"/>
      <c r="AX51" s="4"/>
      <c r="AY51" s="4"/>
      <c r="AZ51" s="4"/>
      <c r="BA51" s="4"/>
      <c r="BB51" s="4"/>
      <c r="BC51" s="4"/>
      <c r="BD51" s="4"/>
      <c r="BE51" s="4"/>
    </row>
    <row r="52" spans="1:58" x14ac:dyDescent="0.25">
      <c r="A52" s="89">
        <v>2</v>
      </c>
      <c r="B52" s="90">
        <v>1.1014999999999999</v>
      </c>
      <c r="C52" s="96">
        <v>1.1064000000000001</v>
      </c>
      <c r="D52" s="47">
        <v>10</v>
      </c>
      <c r="E52" s="47">
        <v>10</v>
      </c>
      <c r="F52" s="91">
        <v>1.1126</v>
      </c>
      <c r="G52" s="91">
        <v>1.1182000000000001</v>
      </c>
      <c r="H52" s="47">
        <v>1</v>
      </c>
      <c r="I52" s="92">
        <f t="shared" si="6"/>
        <v>1.110000000000011</v>
      </c>
      <c r="J52" s="92">
        <f t="shared" si="7"/>
        <v>1.1800000000000033</v>
      </c>
      <c r="K52" s="93">
        <f t="shared" si="8"/>
        <v>1.1450000000000071</v>
      </c>
      <c r="L52" s="81">
        <v>1.1024</v>
      </c>
      <c r="M52" s="81">
        <v>1.1084000000000001</v>
      </c>
      <c r="N52" s="94">
        <f t="shared" si="9"/>
        <v>1019.9999999999987</v>
      </c>
      <c r="O52" s="50">
        <f t="shared" si="10"/>
        <v>980.00000000000296</v>
      </c>
      <c r="P52" s="95">
        <f t="shared" si="11"/>
        <v>1000.0000000000009</v>
      </c>
      <c r="Q52" s="4"/>
      <c r="R52" s="4"/>
      <c r="S52" s="4"/>
      <c r="T52" s="4"/>
      <c r="U52" s="26"/>
      <c r="V52" s="27"/>
      <c r="W52" s="27"/>
      <c r="X52" s="27"/>
      <c r="Y52" s="27"/>
      <c r="Z52" s="27"/>
      <c r="AA52" s="27"/>
      <c r="AB52" s="27"/>
      <c r="AC52" s="85"/>
      <c r="AD52" s="27"/>
      <c r="AE52" s="27"/>
      <c r="AF52" s="27"/>
      <c r="AG52" s="27"/>
      <c r="AH52" s="27"/>
      <c r="AI52" s="27"/>
      <c r="AJ52" s="27"/>
      <c r="AK52" s="27"/>
      <c r="AL52" s="86"/>
      <c r="AM52" s="4"/>
      <c r="AN52" s="4"/>
      <c r="AO52" s="4"/>
      <c r="AP52" s="4"/>
      <c r="AQ52" s="4"/>
      <c r="AR52" s="4"/>
      <c r="AS52" s="4"/>
      <c r="AT52" s="4"/>
      <c r="AU52" s="4"/>
      <c r="AV52" s="4"/>
      <c r="AW52" s="4"/>
      <c r="AX52" s="4"/>
      <c r="AY52" s="4"/>
      <c r="AZ52" s="4"/>
      <c r="BA52" s="4"/>
      <c r="BB52" s="4"/>
      <c r="BC52" s="4"/>
      <c r="BD52" s="4"/>
      <c r="BE52" s="4"/>
    </row>
    <row r="53" spans="1:58" x14ac:dyDescent="0.25">
      <c r="A53" s="89">
        <v>3</v>
      </c>
      <c r="B53" s="90">
        <v>1.1183000000000001</v>
      </c>
      <c r="C53" s="74">
        <v>1.1200000000000001</v>
      </c>
      <c r="D53" s="47">
        <v>10</v>
      </c>
      <c r="E53" s="47">
        <v>10</v>
      </c>
      <c r="F53" s="91">
        <v>1.127</v>
      </c>
      <c r="G53" s="91">
        <v>1.131</v>
      </c>
      <c r="H53" s="47">
        <v>1</v>
      </c>
      <c r="I53" s="92">
        <f t="shared" si="6"/>
        <v>0.869999999999993</v>
      </c>
      <c r="J53" s="92">
        <f t="shared" si="7"/>
        <v>1.0999999999999899</v>
      </c>
      <c r="K53" s="93">
        <f t="shared" si="8"/>
        <v>0.98499999999999144</v>
      </c>
      <c r="L53" s="81">
        <v>1.1185</v>
      </c>
      <c r="M53" s="81">
        <v>1.1220000000000001</v>
      </c>
      <c r="N53" s="94">
        <f t="shared" si="9"/>
        <v>849.99999999999523</v>
      </c>
      <c r="O53" s="50">
        <f t="shared" si="10"/>
        <v>899.99999999998965</v>
      </c>
      <c r="P53" s="95">
        <f t="shared" si="11"/>
        <v>874.9999999999925</v>
      </c>
      <c r="Q53" s="4"/>
      <c r="R53" s="4"/>
      <c r="S53" s="4"/>
      <c r="T53" s="4"/>
      <c r="U53" s="26"/>
      <c r="V53" s="586" t="s">
        <v>5</v>
      </c>
      <c r="W53" s="586"/>
      <c r="X53" s="586"/>
      <c r="Y53" s="586"/>
      <c r="Z53" s="586"/>
      <c r="AA53" s="27"/>
      <c r="AB53" s="27"/>
      <c r="AC53" s="85"/>
      <c r="AD53" s="27"/>
      <c r="AE53" s="27"/>
      <c r="AF53" s="27"/>
      <c r="AG53" s="27"/>
      <c r="AH53" s="27"/>
      <c r="AI53" s="27"/>
      <c r="AJ53" s="27"/>
      <c r="AK53" s="27"/>
      <c r="AL53" s="86"/>
      <c r="AM53" s="4"/>
      <c r="AN53" s="4"/>
      <c r="AO53" s="4"/>
      <c r="AP53" s="4"/>
      <c r="AQ53" s="4"/>
      <c r="AR53" s="4"/>
      <c r="AS53" s="4"/>
      <c r="AT53" s="4"/>
      <c r="AU53" s="4"/>
      <c r="AV53" s="4"/>
      <c r="AW53" s="4"/>
      <c r="AX53" s="4"/>
      <c r="AY53" s="4"/>
      <c r="AZ53" s="4"/>
      <c r="BA53" s="4"/>
      <c r="BB53" s="4"/>
      <c r="BC53" s="4"/>
      <c r="BD53" s="4"/>
      <c r="BE53" s="4"/>
    </row>
    <row r="54" spans="1:58" x14ac:dyDescent="0.25">
      <c r="A54" s="89">
        <v>4</v>
      </c>
      <c r="B54" s="96">
        <v>1.1296999999999999</v>
      </c>
      <c r="C54" s="97">
        <v>1.1231</v>
      </c>
      <c r="D54" s="47">
        <v>10</v>
      </c>
      <c r="E54" s="47">
        <v>10</v>
      </c>
      <c r="F54" s="91">
        <v>1.1364000000000001</v>
      </c>
      <c r="G54" s="91">
        <v>1.1305000000000001</v>
      </c>
      <c r="H54" s="47">
        <v>1</v>
      </c>
      <c r="I54" s="92">
        <f t="shared" si="6"/>
        <v>0.67000000000001503</v>
      </c>
      <c r="J54" s="92">
        <f t="shared" si="7"/>
        <v>0.74000000000000732</v>
      </c>
      <c r="K54" s="93">
        <f t="shared" si="8"/>
        <v>0.70500000000001117</v>
      </c>
      <c r="L54" s="81">
        <v>1.1303000000000001</v>
      </c>
      <c r="M54" s="81">
        <v>1.1242000000000001</v>
      </c>
      <c r="N54" s="94">
        <f t="shared" si="9"/>
        <v>609.99999999999943</v>
      </c>
      <c r="O54" s="50">
        <f t="shared" si="10"/>
        <v>629.99999999999716</v>
      </c>
      <c r="P54" s="95">
        <f t="shared" si="11"/>
        <v>619.99999999999829</v>
      </c>
      <c r="Q54" s="4"/>
      <c r="R54" s="4"/>
      <c r="S54" s="4"/>
      <c r="T54" s="4"/>
      <c r="U54" s="26"/>
      <c r="V54" s="98"/>
      <c r="W54" s="99"/>
      <c r="X54" s="99"/>
      <c r="Y54" s="100" t="s">
        <v>9</v>
      </c>
      <c r="Z54" s="101"/>
      <c r="AA54" s="27"/>
      <c r="AB54" s="27"/>
      <c r="AC54" s="85"/>
      <c r="AD54" s="27"/>
      <c r="AE54" s="27"/>
      <c r="AF54" s="27"/>
      <c r="AG54" s="27"/>
      <c r="AH54" s="27"/>
      <c r="AI54" s="27"/>
      <c r="AJ54" s="27"/>
      <c r="AK54" s="27"/>
      <c r="AL54" s="28"/>
      <c r="AM54" s="4"/>
      <c r="AN54" s="4"/>
      <c r="AO54" s="4"/>
      <c r="AP54" s="4"/>
      <c r="AQ54" s="4"/>
      <c r="AR54" s="4"/>
      <c r="AS54" s="4"/>
      <c r="AT54" s="4"/>
      <c r="AU54" s="4"/>
      <c r="AV54" s="4"/>
      <c r="AW54" s="4"/>
      <c r="AX54" s="4"/>
      <c r="AY54" s="4"/>
      <c r="AZ54" s="4"/>
      <c r="BA54" s="4"/>
      <c r="BB54" s="4"/>
      <c r="BC54" s="4"/>
      <c r="BD54" s="4"/>
      <c r="BE54" s="4"/>
    </row>
    <row r="55" spans="1:58" x14ac:dyDescent="0.25">
      <c r="A55" s="89">
        <v>5</v>
      </c>
      <c r="B55" s="96">
        <v>1.1131</v>
      </c>
      <c r="C55" s="97">
        <v>1.1171</v>
      </c>
      <c r="D55" s="47">
        <v>10</v>
      </c>
      <c r="E55" s="47">
        <v>10</v>
      </c>
      <c r="F55" s="91">
        <v>1.1213</v>
      </c>
      <c r="G55" s="91">
        <v>1.1251</v>
      </c>
      <c r="H55" s="47">
        <v>1</v>
      </c>
      <c r="I55" s="92">
        <f t="shared" si="6"/>
        <v>0.81999999999999851</v>
      </c>
      <c r="J55" s="92">
        <f t="shared" si="7"/>
        <v>0.80000000000000071</v>
      </c>
      <c r="K55" s="93">
        <f t="shared" si="8"/>
        <v>0.80999999999999961</v>
      </c>
      <c r="L55" s="81">
        <v>1.1133999999999999</v>
      </c>
      <c r="M55" s="81">
        <v>1.1178999999999999</v>
      </c>
      <c r="N55" s="94">
        <f t="shared" si="9"/>
        <v>790.00000000000182</v>
      </c>
      <c r="O55" s="50">
        <f t="shared" si="10"/>
        <v>720.00000000000944</v>
      </c>
      <c r="P55" s="95">
        <f t="shared" si="11"/>
        <v>755.00000000000568</v>
      </c>
      <c r="Q55" s="4"/>
      <c r="R55" s="4"/>
      <c r="S55" s="4"/>
      <c r="T55" s="4"/>
      <c r="U55" s="26"/>
      <c r="V55" s="102"/>
      <c r="W55" s="103" t="s">
        <v>12</v>
      </c>
      <c r="X55" s="103" t="s">
        <v>13</v>
      </c>
      <c r="Y55" s="103" t="s">
        <v>14</v>
      </c>
      <c r="Z55" s="104" t="s">
        <v>15</v>
      </c>
      <c r="AA55" s="27"/>
      <c r="AB55" s="27"/>
      <c r="AC55" s="85"/>
      <c r="AD55" s="27"/>
      <c r="AE55" s="27"/>
      <c r="AF55" s="27"/>
      <c r="AG55" s="105"/>
      <c r="AH55" s="27"/>
      <c r="AI55" s="27"/>
      <c r="AJ55" s="27"/>
      <c r="AK55" s="27"/>
      <c r="AL55" s="28"/>
      <c r="AM55" s="4"/>
      <c r="AN55" s="4"/>
      <c r="AO55" s="4"/>
      <c r="AP55" s="4"/>
      <c r="AQ55" s="4"/>
      <c r="AR55" s="4"/>
      <c r="AS55" s="4"/>
      <c r="AT55" s="4"/>
      <c r="AU55" s="4"/>
      <c r="AV55" s="4"/>
      <c r="AW55" s="4"/>
      <c r="AX55" s="4"/>
      <c r="AY55" s="4"/>
      <c r="AZ55" s="4"/>
      <c r="BA55" s="4"/>
      <c r="BB55" s="4"/>
      <c r="BC55" s="4"/>
      <c r="BD55" s="4"/>
      <c r="BE55" s="4"/>
    </row>
    <row r="56" spans="1:58" x14ac:dyDescent="0.25">
      <c r="A56" s="106">
        <v>6</v>
      </c>
      <c r="B56" s="96">
        <v>1.1061000000000001</v>
      </c>
      <c r="C56" s="97">
        <v>1.1164000000000001</v>
      </c>
      <c r="D56" s="47">
        <v>10</v>
      </c>
      <c r="E56" s="47">
        <v>10</v>
      </c>
      <c r="F56" s="107">
        <v>1.1103000000000001</v>
      </c>
      <c r="G56" s="107">
        <v>1.1207</v>
      </c>
      <c r="H56" s="47">
        <v>1</v>
      </c>
      <c r="I56" s="92">
        <f t="shared" si="6"/>
        <v>0.41999999999999815</v>
      </c>
      <c r="J56" s="92">
        <f t="shared" si="7"/>
        <v>0.42999999999999705</v>
      </c>
      <c r="K56" s="93">
        <f t="shared" si="8"/>
        <v>0.4249999999999976</v>
      </c>
      <c r="L56" s="108">
        <v>1.1065</v>
      </c>
      <c r="M56" s="108">
        <v>1.1169</v>
      </c>
      <c r="N56" s="94">
        <f t="shared" si="9"/>
        <v>380.00000000000256</v>
      </c>
      <c r="O56" s="50">
        <f t="shared" si="10"/>
        <v>380.00000000000256</v>
      </c>
      <c r="P56" s="95">
        <f t="shared" si="11"/>
        <v>380.00000000000256</v>
      </c>
      <c r="Q56" s="4"/>
      <c r="R56" s="4"/>
      <c r="S56" s="4"/>
      <c r="T56" s="4"/>
      <c r="U56" s="26"/>
      <c r="V56" s="102"/>
      <c r="W56" s="103"/>
      <c r="X56" s="103"/>
      <c r="Y56" s="103"/>
      <c r="Z56" s="104"/>
      <c r="AA56" s="27"/>
      <c r="AB56" s="27"/>
      <c r="AC56" s="85"/>
      <c r="AD56" s="27"/>
      <c r="AE56" s="27"/>
      <c r="AF56" s="27"/>
      <c r="AG56" s="105"/>
      <c r="AH56" s="27"/>
      <c r="AI56" s="27"/>
      <c r="AJ56" s="27"/>
      <c r="AK56" s="27"/>
      <c r="AL56" s="28"/>
      <c r="AM56" s="4"/>
      <c r="AN56" s="4"/>
      <c r="AO56" s="4"/>
      <c r="AP56" s="4"/>
      <c r="AQ56" s="4"/>
      <c r="AR56" s="4"/>
      <c r="AS56" s="4"/>
      <c r="AT56" s="4"/>
      <c r="AU56" s="4"/>
      <c r="AV56" s="4"/>
      <c r="AW56" s="4"/>
      <c r="AX56" s="4"/>
      <c r="AY56" s="4"/>
      <c r="AZ56" s="4"/>
      <c r="BA56" s="4"/>
      <c r="BB56" s="4"/>
      <c r="BC56" s="4"/>
      <c r="BD56" s="4"/>
      <c r="BE56" s="4"/>
    </row>
    <row r="57" spans="1:58" ht="40.5" customHeight="1" x14ac:dyDescent="0.25">
      <c r="A57" s="109" t="s">
        <v>104</v>
      </c>
      <c r="B57" s="96">
        <v>1.1020000000000001</v>
      </c>
      <c r="C57" s="97">
        <v>1.1055999999999999</v>
      </c>
      <c r="D57" s="110">
        <v>10</v>
      </c>
      <c r="E57" s="110">
        <v>10</v>
      </c>
      <c r="F57" s="111">
        <v>1.1079000000000001</v>
      </c>
      <c r="G57" s="111">
        <v>1.1133999999999999</v>
      </c>
      <c r="H57" s="47">
        <v>1</v>
      </c>
      <c r="I57" s="92">
        <f t="shared" si="6"/>
        <v>0.59000000000000163</v>
      </c>
      <c r="J57" s="92">
        <f t="shared" si="7"/>
        <v>0.78000000000000291</v>
      </c>
      <c r="K57" s="93">
        <f t="shared" si="8"/>
        <v>0.68500000000000227</v>
      </c>
      <c r="L57" s="112">
        <v>1.1022000000000001</v>
      </c>
      <c r="M57" s="112">
        <v>1.1071</v>
      </c>
      <c r="N57" s="52">
        <f t="shared" si="9"/>
        <v>570.00000000000387</v>
      </c>
      <c r="O57" s="50">
        <f t="shared" si="10"/>
        <v>629.99999999999716</v>
      </c>
      <c r="P57" s="95">
        <f t="shared" si="11"/>
        <v>600.00000000000045</v>
      </c>
      <c r="Q57" s="4"/>
      <c r="R57" s="4"/>
      <c r="S57" s="4"/>
      <c r="T57" s="4"/>
      <c r="U57" s="26"/>
      <c r="V57" s="102" t="s">
        <v>18</v>
      </c>
      <c r="W57" s="100" t="s">
        <v>19</v>
      </c>
      <c r="X57" s="113">
        <f>H10</f>
        <v>3.5084598678429519</v>
      </c>
      <c r="Y57" s="114"/>
      <c r="Z57" s="115"/>
      <c r="AA57" s="27"/>
      <c r="AB57" s="27"/>
      <c r="AC57" s="85"/>
      <c r="AD57" s="27"/>
      <c r="AE57" s="27"/>
      <c r="AF57" s="27"/>
      <c r="AG57" s="27"/>
      <c r="AH57" s="27"/>
      <c r="AI57" s="27"/>
      <c r="AJ57" s="27"/>
      <c r="AK57" s="27"/>
      <c r="AL57" s="28"/>
      <c r="AM57" s="4"/>
      <c r="AN57" s="4"/>
      <c r="AO57" s="4"/>
      <c r="AP57" s="4"/>
      <c r="AQ57" s="4"/>
      <c r="AR57" s="4"/>
      <c r="AS57" s="4"/>
      <c r="AT57" s="4"/>
      <c r="AU57" s="4"/>
      <c r="AV57" s="4"/>
      <c r="AW57" s="4"/>
      <c r="AX57" s="4"/>
      <c r="AY57" s="4"/>
      <c r="AZ57" s="4"/>
      <c r="BA57" s="4"/>
      <c r="BB57" s="4"/>
      <c r="BC57" s="4"/>
      <c r="BD57" s="4"/>
      <c r="BE57" s="4"/>
      <c r="BF57" s="4"/>
    </row>
    <row r="58" spans="1:58" ht="34.5" customHeight="1" x14ac:dyDescent="0.25">
      <c r="A58" s="4" t="s">
        <v>105</v>
      </c>
      <c r="B58" s="4"/>
      <c r="C58" s="116"/>
      <c r="D58" s="116"/>
      <c r="E58" s="4"/>
      <c r="F58" s="4"/>
      <c r="G58" s="4"/>
      <c r="H58" s="4"/>
      <c r="I58" s="4"/>
      <c r="J58" s="4"/>
      <c r="K58" s="4"/>
      <c r="L58" s="4"/>
      <c r="M58" s="4"/>
      <c r="N58" s="4"/>
      <c r="O58" s="4"/>
      <c r="P58" s="4"/>
      <c r="Q58" s="4"/>
      <c r="R58" s="4"/>
      <c r="S58" s="4"/>
      <c r="T58" s="4"/>
      <c r="U58" s="26"/>
      <c r="V58" s="102" t="s">
        <v>22</v>
      </c>
      <c r="W58" s="100" t="s">
        <v>106</v>
      </c>
      <c r="X58" s="117">
        <f>H11</f>
        <v>0.16500000000000001</v>
      </c>
      <c r="Y58" s="117">
        <f t="shared" ref="Y58:Z61" si="12">I11</f>
        <v>0.16500000000000001</v>
      </c>
      <c r="Z58" s="118">
        <f t="shared" si="12"/>
        <v>0.16500000000000001</v>
      </c>
      <c r="AA58" s="27"/>
      <c r="AB58" s="27"/>
      <c r="AC58" s="85"/>
      <c r="AD58" s="27"/>
      <c r="AE58" s="27"/>
      <c r="AF58" s="27"/>
      <c r="AG58" s="27"/>
      <c r="AH58" s="27"/>
      <c r="AI58" s="27"/>
      <c r="AJ58" s="27"/>
      <c r="AK58" s="27"/>
      <c r="AL58" s="28"/>
      <c r="AM58" s="4"/>
      <c r="AN58" s="4"/>
      <c r="AO58" s="4"/>
      <c r="AP58" s="4"/>
      <c r="AQ58" s="4"/>
      <c r="AR58" s="4"/>
      <c r="AS58" s="4"/>
      <c r="AT58" s="4"/>
      <c r="AU58" s="4"/>
      <c r="AV58" s="4"/>
      <c r="AW58" s="4"/>
      <c r="AX58" s="4"/>
      <c r="AY58" s="4"/>
      <c r="AZ58" s="4"/>
      <c r="BA58" s="4"/>
      <c r="BB58" s="4"/>
      <c r="BC58" s="4"/>
      <c r="BD58" s="4"/>
      <c r="BE58" s="4"/>
      <c r="BF58" s="4"/>
    </row>
    <row r="59" spans="1:58" x14ac:dyDescent="0.25">
      <c r="A59" s="4"/>
      <c r="B59" s="4"/>
      <c r="C59" s="4"/>
      <c r="D59" s="4"/>
      <c r="E59" s="4"/>
      <c r="F59" s="4"/>
      <c r="G59" s="4"/>
      <c r="H59" s="4"/>
      <c r="I59" s="4"/>
      <c r="J59" s="4"/>
      <c r="K59" s="4"/>
      <c r="L59" s="4"/>
      <c r="M59" s="4"/>
      <c r="N59" s="4"/>
      <c r="O59" s="4"/>
      <c r="P59" s="4"/>
      <c r="Q59" s="4"/>
      <c r="R59" s="4"/>
      <c r="S59" s="4"/>
      <c r="T59" s="4"/>
      <c r="U59" s="26"/>
      <c r="V59" s="102" t="s">
        <v>26</v>
      </c>
      <c r="W59" s="100" t="s">
        <v>27</v>
      </c>
      <c r="X59" s="119">
        <f>H12</f>
        <v>21.710526315789476</v>
      </c>
      <c r="Y59" s="119">
        <f t="shared" si="12"/>
        <v>26.603128665134808</v>
      </c>
      <c r="Z59" s="119">
        <f t="shared" si="12"/>
        <v>23.899659713224764</v>
      </c>
      <c r="AA59" s="27"/>
      <c r="AB59" s="27"/>
      <c r="AC59" s="85"/>
      <c r="AD59" s="27"/>
      <c r="AE59" s="27"/>
      <c r="AF59" s="27"/>
      <c r="AG59" s="27"/>
      <c r="AH59" s="27"/>
      <c r="AI59" s="27"/>
      <c r="AJ59" s="27"/>
      <c r="AK59" s="27"/>
      <c r="AL59" s="28"/>
      <c r="AM59" s="4"/>
      <c r="AN59" s="4"/>
      <c r="AO59" s="4"/>
      <c r="AP59" s="4"/>
      <c r="AQ59" s="4"/>
      <c r="AR59" s="4"/>
      <c r="AS59" s="4"/>
      <c r="AT59" s="4"/>
      <c r="AU59" s="4"/>
      <c r="AV59" s="4"/>
      <c r="AW59" s="4"/>
      <c r="AX59" s="4"/>
      <c r="AY59" s="4"/>
      <c r="AZ59" s="4"/>
      <c r="BA59" s="4"/>
      <c r="BB59" s="4"/>
      <c r="BC59" s="4"/>
      <c r="BD59" s="4"/>
      <c r="BE59" s="4"/>
      <c r="BF59" s="4"/>
    </row>
    <row r="60" spans="1:58" x14ac:dyDescent="0.25">
      <c r="A60" s="587" t="s">
        <v>107</v>
      </c>
      <c r="B60" s="587"/>
      <c r="C60" s="587"/>
      <c r="D60" s="587"/>
      <c r="E60" s="587"/>
      <c r="F60" s="587"/>
      <c r="G60" s="587"/>
      <c r="H60" s="587"/>
      <c r="I60" s="587"/>
      <c r="J60" s="587"/>
      <c r="K60" s="587"/>
      <c r="L60" s="587"/>
      <c r="M60" s="587"/>
      <c r="N60" s="587"/>
      <c r="O60" s="587"/>
      <c r="P60" s="4"/>
      <c r="Q60" s="4"/>
      <c r="R60" s="4"/>
      <c r="S60" s="4"/>
      <c r="T60" s="4"/>
      <c r="U60" s="26"/>
      <c r="V60" s="102" t="s">
        <v>30</v>
      </c>
      <c r="W60" s="100" t="s">
        <v>19</v>
      </c>
      <c r="X60" s="114">
        <f>H13</f>
        <v>28.667686781903466</v>
      </c>
      <c r="Y60" s="120">
        <f t="shared" si="12"/>
        <v>26.087428899711739</v>
      </c>
      <c r="Z60" s="121">
        <f t="shared" si="12"/>
        <v>29.747240591983005</v>
      </c>
      <c r="AA60" s="27"/>
      <c r="AB60" s="27"/>
      <c r="AC60" s="85"/>
      <c r="AD60" s="27"/>
      <c r="AE60" s="27"/>
      <c r="AF60" s="27"/>
      <c r="AG60" s="27"/>
      <c r="AH60" s="27"/>
      <c r="AI60" s="27"/>
      <c r="AJ60" s="27"/>
      <c r="AK60" s="27"/>
      <c r="AL60" s="28"/>
      <c r="AM60" s="4"/>
      <c r="AN60" s="4"/>
      <c r="AO60" s="4"/>
      <c r="AP60" s="4"/>
      <c r="AQ60" s="4"/>
      <c r="AR60" s="4"/>
      <c r="AS60" s="4"/>
      <c r="AT60" s="4"/>
      <c r="AU60" s="4"/>
      <c r="AV60" s="4"/>
      <c r="AW60" s="4"/>
      <c r="AX60" s="4"/>
      <c r="AY60" s="4"/>
      <c r="AZ60" s="4"/>
      <c r="BA60" s="4"/>
      <c r="BB60" s="4"/>
      <c r="BC60" s="4"/>
      <c r="BD60" s="4"/>
      <c r="BE60" s="4"/>
      <c r="BF60" s="4"/>
    </row>
    <row r="61" spans="1:58" x14ac:dyDescent="0.25">
      <c r="A61" s="55" t="s">
        <v>84</v>
      </c>
      <c r="B61" s="56" t="s">
        <v>108</v>
      </c>
      <c r="C61" s="56" t="s">
        <v>109</v>
      </c>
      <c r="D61" s="56" t="s">
        <v>110</v>
      </c>
      <c r="E61" s="56" t="s">
        <v>111</v>
      </c>
      <c r="F61" s="56" t="s">
        <v>89</v>
      </c>
      <c r="G61" s="56" t="s">
        <v>90</v>
      </c>
      <c r="H61" s="56" t="s">
        <v>112</v>
      </c>
      <c r="I61" s="56" t="s">
        <v>113</v>
      </c>
      <c r="J61" s="56" t="s">
        <v>114</v>
      </c>
      <c r="K61" s="56" t="s">
        <v>95</v>
      </c>
      <c r="L61" s="56" t="s">
        <v>96</v>
      </c>
      <c r="M61" s="56" t="s">
        <v>115</v>
      </c>
      <c r="N61" s="56" t="s">
        <v>116</v>
      </c>
      <c r="O61" s="87" t="s">
        <v>117</v>
      </c>
      <c r="P61" s="4"/>
      <c r="Q61" s="4"/>
      <c r="R61" s="4"/>
      <c r="S61" s="4"/>
      <c r="T61" s="4"/>
      <c r="U61" s="26"/>
      <c r="V61" s="122" t="s">
        <v>33</v>
      </c>
      <c r="W61" s="123" t="s">
        <v>34</v>
      </c>
      <c r="X61" s="124">
        <f>H14</f>
        <v>600.00000000000045</v>
      </c>
      <c r="Y61" s="124">
        <f t="shared" si="12"/>
        <v>809.99999999999966</v>
      </c>
      <c r="Z61" s="125">
        <f t="shared" si="12"/>
        <v>705.00000000001114</v>
      </c>
      <c r="AA61" s="27"/>
      <c r="AB61" s="27"/>
      <c r="AC61" s="85"/>
      <c r="AD61" s="27"/>
      <c r="AE61" s="27"/>
      <c r="AF61" s="27"/>
      <c r="AG61" s="27"/>
      <c r="AH61" s="27"/>
      <c r="AI61" s="27"/>
      <c r="AJ61" s="27"/>
      <c r="AK61" s="27"/>
      <c r="AL61" s="28"/>
      <c r="AM61" s="4"/>
      <c r="AN61" s="4"/>
      <c r="AO61" s="4"/>
      <c r="AP61" s="4"/>
      <c r="AQ61" s="4"/>
      <c r="AR61" s="4"/>
      <c r="AS61" s="4"/>
      <c r="AT61" s="4"/>
      <c r="AU61" s="4"/>
      <c r="AV61" s="4"/>
      <c r="AW61" s="4"/>
      <c r="AX61" s="4"/>
      <c r="AY61" s="4"/>
      <c r="AZ61" s="4"/>
      <c r="BA61" s="4"/>
      <c r="BB61" s="4"/>
      <c r="BC61" s="4"/>
      <c r="BD61" s="4"/>
      <c r="BE61" s="4"/>
      <c r="BF61" s="4"/>
    </row>
    <row r="62" spans="1:58" x14ac:dyDescent="0.25">
      <c r="A62" s="89">
        <v>1</v>
      </c>
      <c r="B62" s="126">
        <v>0.9859</v>
      </c>
      <c r="C62" s="126">
        <v>0.98909999999999998</v>
      </c>
      <c r="D62" s="126">
        <v>5.07</v>
      </c>
      <c r="E62" s="126">
        <v>5.1332000000000004</v>
      </c>
      <c r="F62" s="127">
        <v>2.1985999999999999</v>
      </c>
      <c r="G62" s="128">
        <v>2.2118000000000002</v>
      </c>
      <c r="H62" s="68">
        <f t="shared" ref="H62:I69" si="13">(F62-B62)*100/(D62-B62)</f>
        <v>29.69320046032173</v>
      </c>
      <c r="I62" s="68">
        <f t="shared" si="13"/>
        <v>29.504596896793029</v>
      </c>
      <c r="J62" s="68">
        <f t="shared" ref="J62:J69" si="14">AVERAGE(H62:I62)</f>
        <v>29.598898678557379</v>
      </c>
      <c r="K62" s="81">
        <v>1.4211</v>
      </c>
      <c r="L62" s="81">
        <v>1.4279999999999999</v>
      </c>
      <c r="M62" s="68">
        <f t="shared" ref="M62:N69" si="15">((F62-K62)/D62)*100</f>
        <v>15.335305719921099</v>
      </c>
      <c r="N62" s="68">
        <f t="shared" si="15"/>
        <v>15.269227772149929</v>
      </c>
      <c r="O62" s="129">
        <f t="shared" ref="O62:O69" si="16">AVERAGE(M62:N62)</f>
        <v>15.302266746035514</v>
      </c>
      <c r="P62" s="4"/>
      <c r="Q62" s="4"/>
      <c r="R62" s="4"/>
      <c r="S62" s="4"/>
      <c r="T62" s="4"/>
      <c r="U62" s="130"/>
      <c r="V62" s="131"/>
      <c r="W62" s="131"/>
      <c r="X62" s="131"/>
      <c r="Y62" s="131"/>
      <c r="Z62" s="131"/>
      <c r="AA62" s="131"/>
      <c r="AB62" s="131"/>
      <c r="AC62" s="132"/>
      <c r="AD62" s="131"/>
      <c r="AE62" s="131"/>
      <c r="AF62" s="131"/>
      <c r="AG62" s="131"/>
      <c r="AH62" s="133"/>
      <c r="AI62" s="131"/>
      <c r="AJ62" s="131"/>
      <c r="AK62" s="131"/>
      <c r="AL62" s="134"/>
      <c r="AM62" s="4"/>
      <c r="AN62" s="4"/>
      <c r="AO62" s="4"/>
      <c r="AP62" s="4"/>
      <c r="AQ62" s="4"/>
      <c r="AR62" s="4"/>
      <c r="AS62" s="4"/>
      <c r="AT62" s="4"/>
      <c r="AU62" s="4"/>
      <c r="AV62" s="4"/>
      <c r="AW62" s="4"/>
      <c r="AX62" s="4"/>
      <c r="AY62" s="4"/>
      <c r="AZ62" s="4"/>
      <c r="BA62" s="4"/>
      <c r="BB62" s="4"/>
      <c r="BC62" s="4"/>
      <c r="BD62" s="4"/>
      <c r="BE62" s="4"/>
      <c r="BF62" s="4"/>
    </row>
    <row r="63" spans="1:58" x14ac:dyDescent="0.25">
      <c r="A63" s="89">
        <v>2</v>
      </c>
      <c r="B63" s="128">
        <v>0.9919</v>
      </c>
      <c r="C63" s="128">
        <v>0.9909</v>
      </c>
      <c r="D63" s="128">
        <v>5.1154999999999999</v>
      </c>
      <c r="E63" s="128">
        <v>5.1928000000000001</v>
      </c>
      <c r="F63" s="127">
        <v>2.1739999999999999</v>
      </c>
      <c r="G63" s="128">
        <v>2.1692999999999998</v>
      </c>
      <c r="H63" s="68">
        <f t="shared" si="13"/>
        <v>28.666699000873024</v>
      </c>
      <c r="I63" s="68">
        <f t="shared" si="13"/>
        <v>28.044456079392653</v>
      </c>
      <c r="J63" s="68">
        <f t="shared" si="14"/>
        <v>28.355577540132838</v>
      </c>
      <c r="K63" s="135">
        <v>1.4224000000000001</v>
      </c>
      <c r="L63" s="135">
        <v>1.4177999999999999</v>
      </c>
      <c r="M63" s="68">
        <f t="shared" si="15"/>
        <v>14.692600918776266</v>
      </c>
      <c r="N63" s="68">
        <f t="shared" si="15"/>
        <v>14.471961177014325</v>
      </c>
      <c r="O63" s="129">
        <f t="shared" si="16"/>
        <v>14.582281047895297</v>
      </c>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row>
    <row r="64" spans="1:58" x14ac:dyDescent="0.25">
      <c r="A64" s="89">
        <v>3</v>
      </c>
      <c r="B64" s="128">
        <v>1.0130999999999999</v>
      </c>
      <c r="C64" s="128">
        <v>0.99080000000000001</v>
      </c>
      <c r="D64" s="128">
        <v>5.0579999999999998</v>
      </c>
      <c r="E64" s="128">
        <v>5.5039999999999996</v>
      </c>
      <c r="F64" s="127">
        <v>2.1520000000000001</v>
      </c>
      <c r="G64" s="128">
        <v>2.3096000000000001</v>
      </c>
      <c r="H64" s="68">
        <f t="shared" si="13"/>
        <v>28.156443917031329</v>
      </c>
      <c r="I64" s="68">
        <f t="shared" si="13"/>
        <v>29.220951874501466</v>
      </c>
      <c r="J64" s="68">
        <f t="shared" si="14"/>
        <v>28.688697895766396</v>
      </c>
      <c r="K64" s="135">
        <v>1.431</v>
      </c>
      <c r="L64" s="135">
        <v>1.4774</v>
      </c>
      <c r="M64" s="68">
        <f t="shared" si="15"/>
        <v>14.254646105179916</v>
      </c>
      <c r="N64" s="68">
        <f t="shared" si="15"/>
        <v>15.119912790697676</v>
      </c>
      <c r="O64" s="129">
        <f t="shared" si="16"/>
        <v>14.687279447938796</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row>
    <row r="65" spans="1:58" ht="24" customHeight="1" x14ac:dyDescent="0.25">
      <c r="A65" s="89">
        <v>4</v>
      </c>
      <c r="B65" s="136">
        <v>0.98089999999999999</v>
      </c>
      <c r="C65" s="136">
        <v>0.98089999999999999</v>
      </c>
      <c r="D65" s="136">
        <v>5.1913999999999998</v>
      </c>
      <c r="E65" s="136">
        <v>5.1421000000000001</v>
      </c>
      <c r="F65" s="137">
        <v>2.2376999999999998</v>
      </c>
      <c r="G65" s="136">
        <v>2.2145000000000001</v>
      </c>
      <c r="H65" s="68">
        <f t="shared" si="13"/>
        <v>29.849186557415976</v>
      </c>
      <c r="I65" s="68">
        <f t="shared" si="13"/>
        <v>29.645294626550033</v>
      </c>
      <c r="J65" s="68">
        <f t="shared" si="14"/>
        <v>29.747240591983005</v>
      </c>
      <c r="K65" s="135">
        <v>1.4404999999999999</v>
      </c>
      <c r="L65" s="135">
        <v>1.4358</v>
      </c>
      <c r="M65" s="68">
        <f t="shared" si="15"/>
        <v>15.356165966791229</v>
      </c>
      <c r="N65" s="68">
        <f t="shared" si="15"/>
        <v>15.143618366037225</v>
      </c>
      <c r="O65" s="129">
        <f t="shared" si="16"/>
        <v>15.249892166414227</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row>
    <row r="66" spans="1:58" x14ac:dyDescent="0.25">
      <c r="A66" s="89">
        <v>5</v>
      </c>
      <c r="B66" s="136">
        <v>0.97940000000000005</v>
      </c>
      <c r="C66" s="136">
        <v>0.99990000000000001</v>
      </c>
      <c r="D66" s="136">
        <v>5.2652999999999999</v>
      </c>
      <c r="E66" s="136">
        <v>5.1174999999999997</v>
      </c>
      <c r="F66" s="137">
        <v>2.1164000000000001</v>
      </c>
      <c r="G66" s="136">
        <v>2.0558999999999998</v>
      </c>
      <c r="H66" s="68">
        <f t="shared" si="13"/>
        <v>26.528850416481955</v>
      </c>
      <c r="I66" s="68">
        <f t="shared" si="13"/>
        <v>25.646007382941519</v>
      </c>
      <c r="J66" s="68">
        <f t="shared" si="14"/>
        <v>26.087428899711739</v>
      </c>
      <c r="K66" s="135">
        <v>1.3894</v>
      </c>
      <c r="L66" s="135">
        <v>1.3804000000000001</v>
      </c>
      <c r="M66" s="68">
        <f t="shared" si="15"/>
        <v>13.807380396178756</v>
      </c>
      <c r="N66" s="68">
        <f t="shared" si="15"/>
        <v>13.199804592085975</v>
      </c>
      <c r="O66" s="129">
        <f t="shared" si="16"/>
        <v>13.503592494132366</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x14ac:dyDescent="0.25">
      <c r="A67" s="89">
        <v>6</v>
      </c>
      <c r="B67" s="136">
        <v>0.98060000000000003</v>
      </c>
      <c r="C67" s="136">
        <v>0.98450000000000004</v>
      </c>
      <c r="D67" s="136">
        <v>5.1727999999999996</v>
      </c>
      <c r="E67" s="136">
        <v>5.0518000000000001</v>
      </c>
      <c r="F67" s="137">
        <v>2.2263000000000002</v>
      </c>
      <c r="G67" s="136">
        <v>2.1789000000000001</v>
      </c>
      <c r="H67" s="68">
        <f t="shared" si="13"/>
        <v>29.714708267735325</v>
      </c>
      <c r="I67" s="68">
        <f t="shared" si="13"/>
        <v>29.365918422540748</v>
      </c>
      <c r="J67" s="68">
        <f t="shared" si="14"/>
        <v>29.540313345138038</v>
      </c>
      <c r="K67" s="135">
        <v>1.4311</v>
      </c>
      <c r="L67" s="135">
        <v>1.4147000000000001</v>
      </c>
      <c r="M67" s="68">
        <f t="shared" si="15"/>
        <v>15.372718836993506</v>
      </c>
      <c r="N67" s="68">
        <f t="shared" si="15"/>
        <v>15.127281365057998</v>
      </c>
      <c r="O67" s="129">
        <f t="shared" si="16"/>
        <v>15.250000101025751</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row>
    <row r="68" spans="1:58" x14ac:dyDescent="0.25">
      <c r="A68" s="138" t="s">
        <v>118</v>
      </c>
      <c r="B68" s="136">
        <v>0.98680000000000001</v>
      </c>
      <c r="C68" s="136">
        <v>0.99739999999999995</v>
      </c>
      <c r="D68" s="136">
        <v>5.2389000000000001</v>
      </c>
      <c r="E68" s="136">
        <v>5.0125999999999999</v>
      </c>
      <c r="F68" s="136">
        <v>2.2031999999999998</v>
      </c>
      <c r="G68" s="136">
        <v>2.1509</v>
      </c>
      <c r="H68" s="68">
        <f t="shared" si="13"/>
        <v>28.607041226687979</v>
      </c>
      <c r="I68" s="68">
        <f t="shared" si="13"/>
        <v>28.728332337118953</v>
      </c>
      <c r="J68" s="68">
        <f t="shared" si="14"/>
        <v>28.667686781903466</v>
      </c>
      <c r="K68" s="135">
        <v>1.4345000000000001</v>
      </c>
      <c r="L68" s="135">
        <v>1.425</v>
      </c>
      <c r="M68" s="68">
        <f t="shared" si="15"/>
        <v>14.672927522953286</v>
      </c>
      <c r="N68" s="68">
        <f t="shared" si="15"/>
        <v>14.481506603359534</v>
      </c>
      <c r="O68" s="129">
        <f t="shared" si="16"/>
        <v>14.577217063156411</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row>
    <row r="69" spans="1:58" x14ac:dyDescent="0.25">
      <c r="A69" s="109" t="s">
        <v>119</v>
      </c>
      <c r="B69" s="139">
        <v>1.0106999999999999</v>
      </c>
      <c r="C69" s="139">
        <v>1.0055000000000001</v>
      </c>
      <c r="D69" s="139">
        <v>5.2603999999999997</v>
      </c>
      <c r="E69" s="139">
        <v>5.0625999999999998</v>
      </c>
      <c r="F69" s="139">
        <v>1.1589</v>
      </c>
      <c r="G69" s="139">
        <v>1.1487000000000001</v>
      </c>
      <c r="H69" s="68">
        <f t="shared" si="13"/>
        <v>3.4873049862343253</v>
      </c>
      <c r="I69" s="68">
        <f t="shared" si="13"/>
        <v>3.5296147494515786</v>
      </c>
      <c r="J69" s="68">
        <f t="shared" si="14"/>
        <v>3.5084598678429519</v>
      </c>
      <c r="K69" s="140">
        <v>1.0619000000000001</v>
      </c>
      <c r="L69" s="140">
        <v>1.0559000000000001</v>
      </c>
      <c r="M69" s="141">
        <f t="shared" si="15"/>
        <v>1.8439662383088733</v>
      </c>
      <c r="N69" s="141">
        <f t="shared" si="15"/>
        <v>1.8330502113538496</v>
      </c>
      <c r="O69" s="142">
        <f t="shared" si="16"/>
        <v>1.8385082248313616</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row>
    <row r="71" spans="1:58" s="162" customFormat="1" ht="99" customHeight="1" x14ac:dyDescent="0.25">
      <c r="A71" s="143" t="s">
        <v>64</v>
      </c>
      <c r="B71" s="144" t="s">
        <v>120</v>
      </c>
      <c r="C71" s="144" t="s">
        <v>121</v>
      </c>
      <c r="D71" s="145" t="s">
        <v>122</v>
      </c>
      <c r="E71" s="146" t="s">
        <v>123</v>
      </c>
      <c r="F71" s="147" t="s">
        <v>124</v>
      </c>
      <c r="G71" s="148" t="s">
        <v>125</v>
      </c>
      <c r="H71" s="145" t="s">
        <v>126</v>
      </c>
      <c r="I71" s="149" t="s">
        <v>127</v>
      </c>
      <c r="J71" s="150" t="s">
        <v>128</v>
      </c>
      <c r="K71" s="150" t="s">
        <v>129</v>
      </c>
      <c r="L71" s="150" t="s">
        <v>130</v>
      </c>
      <c r="M71" s="151" t="s">
        <v>128</v>
      </c>
      <c r="N71" s="151" t="s">
        <v>129</v>
      </c>
      <c r="O71" s="151" t="s">
        <v>130</v>
      </c>
      <c r="P71" s="151" t="s">
        <v>131</v>
      </c>
      <c r="Q71" s="152" t="s">
        <v>132</v>
      </c>
      <c r="R71" s="153" t="s">
        <v>124</v>
      </c>
      <c r="S71" s="154" t="s">
        <v>125</v>
      </c>
      <c r="T71" s="155" t="s">
        <v>126</v>
      </c>
      <c r="U71" s="154" t="s">
        <v>127</v>
      </c>
      <c r="V71" s="155" t="s">
        <v>128</v>
      </c>
      <c r="W71" s="155" t="s">
        <v>129</v>
      </c>
      <c r="X71" s="155" t="s">
        <v>130</v>
      </c>
      <c r="Y71" s="156" t="s">
        <v>128</v>
      </c>
      <c r="Z71" s="156" t="s">
        <v>129</v>
      </c>
      <c r="AA71" s="156" t="s">
        <v>130</v>
      </c>
      <c r="AB71" s="157"/>
      <c r="AC71" s="158" t="s">
        <v>133</v>
      </c>
      <c r="AD71" s="147" t="s">
        <v>124</v>
      </c>
      <c r="AE71" s="148" t="s">
        <v>125</v>
      </c>
      <c r="AF71" s="145" t="s">
        <v>126</v>
      </c>
      <c r="AG71" s="148" t="s">
        <v>127</v>
      </c>
      <c r="AH71" s="145" t="s">
        <v>134</v>
      </c>
      <c r="AI71" s="145" t="s">
        <v>135</v>
      </c>
      <c r="AJ71" s="145" t="s">
        <v>136</v>
      </c>
      <c r="AK71" s="145" t="s">
        <v>137</v>
      </c>
      <c r="AL71" s="145" t="s">
        <v>138</v>
      </c>
      <c r="AM71" s="145" t="s">
        <v>139</v>
      </c>
      <c r="AN71" s="145" t="s">
        <v>140</v>
      </c>
      <c r="AO71" s="159" t="s">
        <v>134</v>
      </c>
      <c r="AP71" s="159" t="s">
        <v>135</v>
      </c>
      <c r="AQ71" s="160" t="s">
        <v>136</v>
      </c>
      <c r="AR71" s="159" t="s">
        <v>141</v>
      </c>
      <c r="AS71" s="161" t="s">
        <v>142</v>
      </c>
      <c r="AT71" s="147" t="s">
        <v>143</v>
      </c>
      <c r="AU71" s="145" t="s">
        <v>144</v>
      </c>
      <c r="AV71" s="145" t="s">
        <v>145</v>
      </c>
      <c r="AW71" s="145" t="s">
        <v>146</v>
      </c>
      <c r="AX71" s="161"/>
    </row>
    <row r="72" spans="1:58" s="172" customFormat="1" x14ac:dyDescent="0.25">
      <c r="A72" s="163">
        <f t="shared" ref="A72:A77" si="17">I33</f>
        <v>17.01308560441484</v>
      </c>
      <c r="B72" s="149">
        <f t="shared" ref="B72:B77" si="18">C42</f>
        <v>47.966666666666669</v>
      </c>
      <c r="C72" s="149">
        <f t="shared" ref="C72:C77" si="19">B42</f>
        <v>121.6</v>
      </c>
      <c r="D72" s="149">
        <f t="shared" ref="D72:D77" si="20">J62</f>
        <v>29.598898678557379</v>
      </c>
      <c r="E72" s="164">
        <f t="shared" ref="E72:E77" si="21">K51*1000</f>
        <v>1190.0000000000023</v>
      </c>
      <c r="F72" s="163">
        <f>AVERAGE(B72)</f>
        <v>47.966666666666669</v>
      </c>
      <c r="G72" s="149">
        <f>F72-B72</f>
        <v>0</v>
      </c>
      <c r="H72" s="149">
        <v>20</v>
      </c>
      <c r="I72" s="149">
        <f>IF(AND(G72&gt;H72,G73&gt;H73),1,2)</f>
        <v>2</v>
      </c>
      <c r="J72" s="165" t="e">
        <f>INDEX(A72:A77,MATCH(1,I72:I77,0))</f>
        <v>#N/A</v>
      </c>
      <c r="K72" s="165" t="e">
        <f>INDEX(D72:D77,MATCH(1,I72:I77,0))</f>
        <v>#N/A</v>
      </c>
      <c r="L72" s="165" t="e">
        <f>INDEX(E72:E77,MATCH(1,I72:I77,0))</f>
        <v>#N/A</v>
      </c>
      <c r="M72" s="165" t="e">
        <f>J72</f>
        <v>#N/A</v>
      </c>
      <c r="N72" s="165" t="e">
        <f>K72</f>
        <v>#N/A</v>
      </c>
      <c r="O72" s="165" t="e">
        <f>L72</f>
        <v>#N/A</v>
      </c>
      <c r="P72" s="165"/>
      <c r="Q72" s="166"/>
      <c r="R72" s="167">
        <f>AVERAGE(C72)</f>
        <v>121.6</v>
      </c>
      <c r="S72" s="168">
        <f>R72-C72</f>
        <v>0</v>
      </c>
      <c r="T72" s="168">
        <v>20</v>
      </c>
      <c r="U72" s="168">
        <f>IF(AND(S72&gt;T72,S73&gt;T73),1,2)</f>
        <v>2</v>
      </c>
      <c r="V72" s="168">
        <f>INDEX(A72:A76,MATCH(1,U72:U77,0))</f>
        <v>26.603128665134808</v>
      </c>
      <c r="W72" s="168">
        <f>INDEX(D72:D77,MATCH(1,U72:U77,0))</f>
        <v>26.087428899711739</v>
      </c>
      <c r="X72" s="168">
        <f>INDEX(E72:E76,MATCH(1,U72:U76,0))</f>
        <v>809.99999999999966</v>
      </c>
      <c r="Y72" s="168">
        <f>V72</f>
        <v>26.603128665134808</v>
      </c>
      <c r="Z72" s="168">
        <f>W72</f>
        <v>26.087428899711739</v>
      </c>
      <c r="AA72" s="168">
        <f>X72</f>
        <v>809.99999999999966</v>
      </c>
      <c r="AB72" s="169"/>
      <c r="AC72" s="170"/>
      <c r="AD72" s="163">
        <f>AVERAGE(D72)</f>
        <v>29.598898678557379</v>
      </c>
      <c r="AE72" s="149">
        <f>AD72-D72</f>
        <v>0</v>
      </c>
      <c r="AF72" s="149">
        <v>20</v>
      </c>
      <c r="AG72" s="149">
        <f>IF(AND(AE72&gt;AF72,AE73&gt;AF73),1,2)</f>
        <v>2</v>
      </c>
      <c r="AH72" s="149">
        <f>A73</f>
        <v>18.736554961438362</v>
      </c>
      <c r="AI72" s="149" t="e">
        <f>INDEX(D72:D76,MATCH(1,AG72:AG77,0))</f>
        <v>#N/A</v>
      </c>
      <c r="AJ72" s="149" t="e">
        <f>INDEX(E72:E76,MATCH(1,AG72:AG76,0))</f>
        <v>#N/A</v>
      </c>
      <c r="AK72" s="149">
        <v>812</v>
      </c>
      <c r="AL72" s="171" t="e">
        <f>IF(AND(ISNUMBER(AH72), AH72&lt;AK72), AJ72,"")</f>
        <v>#N/A</v>
      </c>
      <c r="AM72" s="149"/>
      <c r="AN72" s="149" t="e">
        <f>IF((AK72&gt;AL72),1,2)</f>
        <v>#N/A</v>
      </c>
      <c r="AO72" s="149">
        <f>A75</f>
        <v>23.899659713224764</v>
      </c>
      <c r="AP72" s="149">
        <f>D75</f>
        <v>29.747240591983005</v>
      </c>
      <c r="AQ72" s="149">
        <f>E75</f>
        <v>705.00000000001114</v>
      </c>
      <c r="AR72" s="149" t="s">
        <v>147</v>
      </c>
      <c r="AS72" s="164"/>
      <c r="AT72" s="163">
        <f>D15</f>
        <v>21.710526315789476</v>
      </c>
      <c r="AU72" s="149">
        <f>J68</f>
        <v>28.667686781903466</v>
      </c>
      <c r="AV72" s="149">
        <f>P57</f>
        <v>600.00000000000045</v>
      </c>
      <c r="AW72" s="149">
        <f>J69</f>
        <v>3.5084598678429519</v>
      </c>
      <c r="AX72" s="164"/>
    </row>
    <row r="73" spans="1:58" s="172" customFormat="1" x14ac:dyDescent="0.25">
      <c r="A73" s="163">
        <f t="shared" si="17"/>
        <v>18.736554961438362</v>
      </c>
      <c r="B73" s="149">
        <f t="shared" si="18"/>
        <v>45.05</v>
      </c>
      <c r="C73" s="149">
        <f t="shared" si="19"/>
        <v>114.43333333333334</v>
      </c>
      <c r="D73" s="149">
        <f t="shared" si="20"/>
        <v>28.355577540132838</v>
      </c>
      <c r="E73" s="164">
        <f t="shared" si="21"/>
        <v>1145.000000000007</v>
      </c>
      <c r="F73" s="163">
        <f>AVERAGE(B72:B73)</f>
        <v>46.508333333333333</v>
      </c>
      <c r="G73" s="149">
        <f>(F72-B73)*100/F72</f>
        <v>6.0806115357887522</v>
      </c>
      <c r="H73" s="149">
        <v>20</v>
      </c>
      <c r="I73" s="149">
        <f>IF(AND(G72&gt;H72,G73&gt;H73,G74&lt;H74),1,2)</f>
        <v>2</v>
      </c>
      <c r="J73" s="165"/>
      <c r="K73" s="165"/>
      <c r="L73" s="165"/>
      <c r="M73" s="173"/>
      <c r="N73" s="165"/>
      <c r="O73" s="165"/>
      <c r="P73" s="165"/>
      <c r="Q73" s="166"/>
      <c r="R73" s="167">
        <f>AVERAGE(C72:C73)</f>
        <v>118.01666666666667</v>
      </c>
      <c r="S73" s="168">
        <f>(R72-C73)*100/R72</f>
        <v>5.8936403508771855</v>
      </c>
      <c r="T73" s="168">
        <v>20</v>
      </c>
      <c r="U73" s="168">
        <f>IF(AND(S72&gt;T72,S73&gt;T73,S74&lt;T74),1,2)</f>
        <v>2</v>
      </c>
      <c r="V73" s="168"/>
      <c r="W73" s="168"/>
      <c r="X73" s="168"/>
      <c r="Y73" s="168"/>
      <c r="Z73" s="168"/>
      <c r="AA73" s="168"/>
      <c r="AB73" s="169"/>
      <c r="AC73" s="170"/>
      <c r="AD73" s="163">
        <f>AVERAGE(D72:D73)</f>
        <v>28.977238109345109</v>
      </c>
      <c r="AE73" s="149">
        <f>(AD72-D73)*100/AD72</f>
        <v>4.2005655410593112</v>
      </c>
      <c r="AF73" s="149">
        <v>20</v>
      </c>
      <c r="AG73" s="149">
        <f>IF(AND(AE72&gt;AF72,AE73&gt;AF73,AE74&lt;AF74),1,2)</f>
        <v>2</v>
      </c>
      <c r="AH73" s="149"/>
      <c r="AI73" s="149"/>
      <c r="AJ73" s="149"/>
      <c r="AK73" s="149"/>
      <c r="AL73" s="149"/>
      <c r="AM73" s="149"/>
      <c r="AN73" s="149"/>
      <c r="AO73" s="149"/>
      <c r="AP73" s="149"/>
      <c r="AQ73" s="149"/>
      <c r="AR73" s="149"/>
      <c r="AS73" s="164"/>
      <c r="AT73" s="163"/>
      <c r="AU73" s="149"/>
      <c r="AV73" s="149"/>
      <c r="AW73" s="149"/>
      <c r="AX73" s="164"/>
    </row>
    <row r="74" spans="1:58" s="172" customFormat="1" x14ac:dyDescent="0.25">
      <c r="A74" s="163">
        <f t="shared" si="17"/>
        <v>21.415013228658076</v>
      </c>
      <c r="B74" s="149">
        <f t="shared" si="18"/>
        <v>43.933333333333337</v>
      </c>
      <c r="C74" s="149">
        <f t="shared" si="19"/>
        <v>55.6</v>
      </c>
      <c r="D74" s="149">
        <f t="shared" si="20"/>
        <v>28.688697895766396</v>
      </c>
      <c r="E74" s="164">
        <f t="shared" si="21"/>
        <v>984.99999999999147</v>
      </c>
      <c r="F74" s="163">
        <f>AVERAGE(B73:B74)</f>
        <v>44.491666666666667</v>
      </c>
      <c r="G74" s="149">
        <f>(F73-B74)*100/F73</f>
        <v>5.5366421788209905</v>
      </c>
      <c r="H74" s="149">
        <v>20</v>
      </c>
      <c r="I74" s="149">
        <f>IF(AND(G73&gt;H73,G74&gt;H74,G75&lt;H75),1,2)</f>
        <v>2</v>
      </c>
      <c r="J74" s="165"/>
      <c r="K74" s="165"/>
      <c r="L74" s="165"/>
      <c r="M74" s="165"/>
      <c r="N74" s="165"/>
      <c r="O74" s="165"/>
      <c r="P74" s="165"/>
      <c r="Q74" s="166"/>
      <c r="R74" s="167">
        <f>AVERAGE(C73:C74)</f>
        <v>85.016666666666666</v>
      </c>
      <c r="S74" s="168">
        <f>(R73-C74)*100/R73</f>
        <v>52.888010168055352</v>
      </c>
      <c r="T74" s="168">
        <v>20</v>
      </c>
      <c r="U74" s="168">
        <f>IF(AND(S73&gt;T73,S74&gt;T74,S75&lt;T75),1,2)</f>
        <v>2</v>
      </c>
      <c r="V74" s="168"/>
      <c r="W74" s="168"/>
      <c r="X74" s="168"/>
      <c r="Y74" s="168"/>
      <c r="Z74" s="168"/>
      <c r="AA74" s="168"/>
      <c r="AB74" s="169"/>
      <c r="AC74" s="170"/>
      <c r="AD74" s="163">
        <f>AVERAGE(D73:D74)</f>
        <v>28.522137717949619</v>
      </c>
      <c r="AE74" s="149">
        <f>(AD73-D74)*100/AD73</f>
        <v>0.99574780898687321</v>
      </c>
      <c r="AF74" s="149">
        <v>20</v>
      </c>
      <c r="AG74" s="149">
        <f>IF(AND(AE73&gt;AF73,AE74&gt;AF74,AE75&lt;AF75),1,2)</f>
        <v>2</v>
      </c>
      <c r="AH74" s="149"/>
      <c r="AI74" s="149"/>
      <c r="AJ74" s="149"/>
      <c r="AK74" s="149"/>
      <c r="AL74" s="149"/>
      <c r="AM74" s="149"/>
      <c r="AN74" s="149"/>
      <c r="AO74" s="149"/>
      <c r="AP74" s="149"/>
      <c r="AQ74" s="149"/>
      <c r="AR74" s="149"/>
      <c r="AS74" s="164"/>
      <c r="AT74" s="163"/>
      <c r="AU74" s="149"/>
      <c r="AV74" s="149"/>
      <c r="AW74" s="149"/>
      <c r="AX74" s="164"/>
    </row>
    <row r="75" spans="1:58" s="172" customFormat="1" x14ac:dyDescent="0.25">
      <c r="A75" s="163">
        <f t="shared" si="17"/>
        <v>23.899659713224764</v>
      </c>
      <c r="B75" s="149">
        <f t="shared" si="18"/>
        <v>39.800000000000004</v>
      </c>
      <c r="C75" s="149">
        <f t="shared" si="19"/>
        <v>49.2</v>
      </c>
      <c r="D75" s="149">
        <f t="shared" si="20"/>
        <v>29.747240591983005</v>
      </c>
      <c r="E75" s="164">
        <f t="shared" si="21"/>
        <v>705.00000000001114</v>
      </c>
      <c r="F75" s="163">
        <f>AVERAGE(B74:B75)</f>
        <v>41.866666666666674</v>
      </c>
      <c r="G75" s="149">
        <f>(F74-B75)*100/F74</f>
        <v>10.545045888743202</v>
      </c>
      <c r="H75" s="149">
        <v>20</v>
      </c>
      <c r="I75" s="149">
        <f>IF(AND(G74&gt;H74,G75&gt;H75,G76&lt;H76),1,2)</f>
        <v>2</v>
      </c>
      <c r="J75" s="165"/>
      <c r="K75" s="165"/>
      <c r="L75" s="165"/>
      <c r="M75" s="165"/>
      <c r="N75" s="165"/>
      <c r="O75" s="165"/>
      <c r="P75" s="165"/>
      <c r="Q75" s="166"/>
      <c r="R75" s="167">
        <f>AVERAGE(C74:C75)</f>
        <v>52.400000000000006</v>
      </c>
      <c r="S75" s="168">
        <f>(R74-C75)*100/R74</f>
        <v>42.12899431484022</v>
      </c>
      <c r="T75" s="168">
        <v>20</v>
      </c>
      <c r="U75" s="168">
        <f>IF(AND(S74&gt;T74,S75&gt;T75,S76&lt;T76),1,2)</f>
        <v>2</v>
      </c>
      <c r="V75" s="168"/>
      <c r="W75" s="168"/>
      <c r="X75" s="168"/>
      <c r="Y75" s="168"/>
      <c r="Z75" s="168"/>
      <c r="AA75" s="168"/>
      <c r="AB75" s="169"/>
      <c r="AC75" s="170"/>
      <c r="AD75" s="163">
        <f>AVERAGE(D74:D75)</f>
        <v>29.217969243874698</v>
      </c>
      <c r="AE75" s="149">
        <f>(AD74-D75)*100/AD74</f>
        <v>-4.2952701727626863</v>
      </c>
      <c r="AF75" s="149">
        <v>20</v>
      </c>
      <c r="AG75" s="149">
        <f>IF(AND(AE74&gt;AF74,AE75&gt;AF75,AE76&lt;AF76),1,2)</f>
        <v>2</v>
      </c>
      <c r="AH75" s="149"/>
      <c r="AI75" s="149"/>
      <c r="AJ75" s="149"/>
      <c r="AK75" s="149"/>
      <c r="AL75" s="149"/>
      <c r="AM75" s="149"/>
      <c r="AN75" s="149"/>
      <c r="AO75" s="149"/>
      <c r="AP75" s="149"/>
      <c r="AQ75" s="149"/>
      <c r="AR75" s="149"/>
      <c r="AS75" s="164"/>
      <c r="AT75" s="163"/>
      <c r="AU75" s="149"/>
      <c r="AV75" s="149"/>
      <c r="AW75" s="149"/>
      <c r="AX75" s="164"/>
    </row>
    <row r="76" spans="1:58" s="172" customFormat="1" x14ac:dyDescent="0.25">
      <c r="A76" s="163">
        <f t="shared" si="17"/>
        <v>26.603128665134808</v>
      </c>
      <c r="B76" s="149">
        <f t="shared" si="18"/>
        <v>34.049999999999997</v>
      </c>
      <c r="C76" s="149">
        <f t="shared" si="19"/>
        <v>40.549999999999997</v>
      </c>
      <c r="D76" s="149">
        <f t="shared" si="20"/>
        <v>26.087428899711739</v>
      </c>
      <c r="E76" s="164">
        <f t="shared" si="21"/>
        <v>809.99999999999966</v>
      </c>
      <c r="F76" s="163">
        <f>AVERAGE(B75:B76)</f>
        <v>36.924999999999997</v>
      </c>
      <c r="G76" s="149">
        <f>(F75-B76)*100/F75</f>
        <v>18.670382165605115</v>
      </c>
      <c r="H76" s="149">
        <v>20</v>
      </c>
      <c r="I76" s="149">
        <f>IF(AND(G75&gt;H75,G76&gt;H76,G77&lt;H77),1,2)</f>
        <v>2</v>
      </c>
      <c r="J76" s="165"/>
      <c r="K76" s="165"/>
      <c r="L76" s="165"/>
      <c r="M76" s="165"/>
      <c r="N76" s="165"/>
      <c r="O76" s="165"/>
      <c r="P76" s="165"/>
      <c r="Q76" s="166"/>
      <c r="R76" s="167">
        <f>AVERAGE(C75:C76)</f>
        <v>44.875</v>
      </c>
      <c r="S76" s="168">
        <f>(R75-C76)*100/R75</f>
        <v>22.614503816793906</v>
      </c>
      <c r="T76" s="168">
        <v>20</v>
      </c>
      <c r="U76" s="168">
        <f>IF(AND(S75&gt;T75,S76&gt;T76,S77&lt;T77),1,2)</f>
        <v>1</v>
      </c>
      <c r="V76" s="168"/>
      <c r="W76" s="168"/>
      <c r="X76" s="168"/>
      <c r="Y76" s="168"/>
      <c r="Z76" s="168"/>
      <c r="AA76" s="168"/>
      <c r="AB76" s="169"/>
      <c r="AC76" s="170"/>
      <c r="AD76" s="163">
        <f>AVERAGE(D75:D76)</f>
        <v>27.91733474584737</v>
      </c>
      <c r="AE76" s="149">
        <f>(AD75-D76)*100/AD75</f>
        <v>10.714435072585516</v>
      </c>
      <c r="AF76" s="149">
        <v>20</v>
      </c>
      <c r="AG76" s="149">
        <f>IF(AND(AE75&gt;AF75,AE76&gt;AF76,AE77&lt;AF77),1,2)</f>
        <v>2</v>
      </c>
      <c r="AH76" s="149"/>
      <c r="AI76" s="149"/>
      <c r="AJ76" s="149"/>
      <c r="AK76" s="149"/>
      <c r="AL76" s="149"/>
      <c r="AM76" s="149"/>
      <c r="AN76" s="149"/>
      <c r="AO76" s="149"/>
      <c r="AP76" s="149"/>
      <c r="AQ76" s="149"/>
      <c r="AR76" s="149"/>
      <c r="AS76" s="164"/>
      <c r="AT76" s="163"/>
      <c r="AU76" s="149"/>
      <c r="AV76" s="149"/>
      <c r="AW76" s="149"/>
      <c r="AX76" s="164"/>
    </row>
    <row r="77" spans="1:58" s="172" customFormat="1" x14ac:dyDescent="0.25">
      <c r="A77" s="163">
        <f t="shared" si="17"/>
        <v>29.139709765458161</v>
      </c>
      <c r="B77" s="149">
        <f t="shared" si="18"/>
        <v>24.033333333333331</v>
      </c>
      <c r="C77" s="149">
        <f t="shared" si="19"/>
        <v>39.833333333333336</v>
      </c>
      <c r="D77" s="149">
        <f t="shared" si="20"/>
        <v>29.540313345138038</v>
      </c>
      <c r="E77" s="164">
        <f t="shared" si="21"/>
        <v>424.99999999999761</v>
      </c>
      <c r="F77" s="163">
        <f>AVERAGE(B76:B77)</f>
        <v>29.041666666666664</v>
      </c>
      <c r="G77" s="149">
        <f>(F76-B77)*100/F76</f>
        <v>34.913112164296997</v>
      </c>
      <c r="H77" s="149">
        <v>20</v>
      </c>
      <c r="I77" s="149">
        <f>IF(AND(G76&gt;H76,G77&gt;H77),1,2)</f>
        <v>2</v>
      </c>
      <c r="J77" s="165"/>
      <c r="K77" s="165"/>
      <c r="L77" s="165"/>
      <c r="M77" s="165"/>
      <c r="N77" s="165"/>
      <c r="O77" s="165"/>
      <c r="P77" s="165"/>
      <c r="Q77" s="166"/>
      <c r="R77" s="167">
        <f>AVERAGE(C76:C77)</f>
        <v>40.191666666666663</v>
      </c>
      <c r="S77" s="168">
        <f>(R76-C77)*100/R76</f>
        <v>11.23491179201485</v>
      </c>
      <c r="T77" s="168">
        <v>20</v>
      </c>
      <c r="U77" s="168">
        <f>IF(AND(S76&gt;T76,S77&gt;T77),1,2)</f>
        <v>2</v>
      </c>
      <c r="V77" s="168"/>
      <c r="W77" s="168"/>
      <c r="X77" s="168"/>
      <c r="Y77" s="168"/>
      <c r="Z77" s="168"/>
      <c r="AA77" s="168"/>
      <c r="AB77" s="169"/>
      <c r="AC77" s="170"/>
      <c r="AD77" s="163">
        <f>AVERAGE(D76:D77)</f>
        <v>27.813871122424889</v>
      </c>
      <c r="AE77" s="149">
        <f>(AD76-D77)*100/AD76</f>
        <v>-5.8135155596544985</v>
      </c>
      <c r="AF77" s="149">
        <v>20</v>
      </c>
      <c r="AG77" s="149">
        <f>IF(AND(AE76&gt;AF76,AE77&gt;AF77),1,2)</f>
        <v>2</v>
      </c>
      <c r="AH77" s="149"/>
      <c r="AI77" s="149"/>
      <c r="AJ77" s="149"/>
      <c r="AK77" s="149"/>
      <c r="AL77" s="149"/>
      <c r="AM77" s="149"/>
      <c r="AN77" s="149"/>
      <c r="AO77" s="149"/>
      <c r="AP77" s="149"/>
      <c r="AQ77" s="149"/>
      <c r="AR77" s="149"/>
      <c r="AS77" s="164"/>
      <c r="AT77" s="163"/>
      <c r="AU77" s="149"/>
      <c r="AV77" s="149"/>
      <c r="AW77" s="149"/>
      <c r="AX77" s="164"/>
    </row>
  </sheetData>
  <mergeCells count="14">
    <mergeCell ref="AD44:AL45"/>
    <mergeCell ref="A49:P49"/>
    <mergeCell ref="V53:Z53"/>
    <mergeCell ref="A60:O60"/>
    <mergeCell ref="A31:R31"/>
    <mergeCell ref="A40:M40"/>
    <mergeCell ref="D41:H41"/>
    <mergeCell ref="I41:M41"/>
    <mergeCell ref="U44:AC45"/>
    <mergeCell ref="U5:AL7"/>
    <mergeCell ref="A7:D7"/>
    <mergeCell ref="A17:C17"/>
    <mergeCell ref="A23:C23"/>
    <mergeCell ref="A26:C26"/>
  </mergeCells>
  <conditionalFormatting sqref="X57">
    <cfRule type="cellIs" dxfId="13" priority="2" operator="lessThan">
      <formula>3</formula>
    </cfRule>
    <cfRule type="cellIs" dxfId="12" priority="3" operator="greaterThan">
      <formula>3.9</formula>
    </cfRule>
    <cfRule type="cellIs" dxfId="11" priority="4" operator="between">
      <formula>3</formula>
      <formula>3.9</formula>
    </cfRule>
    <cfRule type="cellIs" dxfId="10" priority="5" operator="between">
      <formula>3</formula>
      <formula>3.9</formula>
    </cfRule>
    <cfRule type="cellIs" dxfId="9" priority="6" operator="between">
      <formula>3.15</formula>
      <formula>3.85</formula>
    </cfRule>
  </conditionalFormatting>
  <conditionalFormatting sqref="X61:Z61">
    <cfRule type="cellIs" dxfId="8" priority="7" operator="greaterThan">
      <formula>812</formula>
    </cfRule>
    <cfRule type="cellIs" dxfId="7"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40" max="1048575" man="1"/>
    <brk id="44" max="1048575" man="1"/>
    <brk id="54" max="1048575" man="1"/>
  </colBreak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78"/>
  <sheetViews>
    <sheetView zoomScaleNormal="100" workbookViewId="0">
      <selection activeCell="C33" sqref="C33"/>
    </sheetView>
  </sheetViews>
  <sheetFormatPr defaultColWidth="8.7109375" defaultRowHeight="15.75" outlineLevelRow="2" x14ac:dyDescent="0.25"/>
  <cols>
    <col min="1" max="1" width="39.42578125" style="2" customWidth="1"/>
    <col min="2" max="2" width="26.28515625" style="2" customWidth="1"/>
    <col min="3" max="3" width="32.28515625" style="2" customWidth="1"/>
    <col min="4" max="4" width="22.28515625" style="2" customWidth="1"/>
    <col min="5" max="5" width="23.28515625" style="2" customWidth="1"/>
    <col min="6" max="6" width="25.7109375" style="2" customWidth="1"/>
    <col min="7" max="8" width="16.7109375" style="2" customWidth="1"/>
    <col min="9" max="9" width="18.42578125" style="2" customWidth="1"/>
    <col min="10" max="10" width="15.7109375" style="2" customWidth="1"/>
    <col min="11" max="11" width="16.42578125" style="2" customWidth="1"/>
    <col min="12" max="12" width="16.7109375" style="2" customWidth="1"/>
    <col min="13" max="13" width="17.28515625" style="2" customWidth="1"/>
    <col min="14" max="14" width="10.28515625" style="2" customWidth="1"/>
    <col min="15" max="15" width="11" style="2" customWidth="1"/>
    <col min="16" max="16" width="18.7109375" style="2" customWidth="1"/>
    <col min="17" max="17" width="11" style="2" customWidth="1"/>
    <col min="18" max="21" width="11.7109375" style="2" customWidth="1"/>
    <col min="22" max="22" width="22.28515625" style="2" customWidth="1"/>
    <col min="23" max="25" width="11.7109375" style="2" customWidth="1"/>
    <col min="26" max="26" width="21.28515625" style="2" customWidth="1"/>
    <col min="27" max="34" width="11.7109375" style="2" customWidth="1"/>
    <col min="35" max="35" width="13.28515625" style="2" customWidth="1"/>
    <col min="36" max="36" width="14.7109375" style="2" customWidth="1"/>
    <col min="37" max="37" width="11.7109375" style="2" customWidth="1"/>
    <col min="38" max="38" width="9.42578125" style="2" customWidth="1"/>
    <col min="39" max="39" width="8.28515625" style="2" customWidth="1"/>
    <col min="40" max="40" width="7.42578125" style="2" customWidth="1"/>
    <col min="41" max="42" width="8.7109375" style="2"/>
    <col min="43" max="43" width="8.42578125" style="2" customWidth="1"/>
    <col min="44" max="16384" width="8.7109375" style="2"/>
  </cols>
  <sheetData>
    <row r="1" spans="1:57" x14ac:dyDescent="0.25">
      <c r="A1" s="3"/>
      <c r="B1" s="4" t="s">
        <v>0</v>
      </c>
      <c r="C1" s="5"/>
      <c r="D1" s="5"/>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spans="1:57" x14ac:dyDescent="0.25">
      <c r="A2" s="6"/>
      <c r="B2" s="7"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row>
    <row r="3" spans="1:57" x14ac:dyDescent="0.25">
      <c r="A3" s="6"/>
      <c r="B3" s="7" t="s">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row>
    <row r="4" spans="1:57" x14ac:dyDescent="0.25">
      <c r="A4" s="6"/>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row>
    <row r="5" spans="1:57" ht="34.5" customHeight="1" x14ac:dyDescent="0.25">
      <c r="A5" s="6"/>
      <c r="B5" s="4"/>
      <c r="C5" s="4"/>
      <c r="D5" s="4"/>
      <c r="E5" s="4"/>
      <c r="F5" s="4"/>
      <c r="G5" s="4"/>
      <c r="H5" s="4"/>
      <c r="I5" s="4"/>
      <c r="J5" s="4"/>
      <c r="K5" s="4"/>
      <c r="L5" s="4"/>
      <c r="M5" s="4"/>
      <c r="N5" s="4"/>
      <c r="O5" s="4"/>
      <c r="P5" s="4"/>
      <c r="Q5" s="4"/>
      <c r="R5" s="4"/>
      <c r="S5" s="4"/>
      <c r="T5" s="4"/>
      <c r="U5" s="575" t="s">
        <v>148</v>
      </c>
      <c r="V5" s="575"/>
      <c r="W5" s="575"/>
      <c r="X5" s="575"/>
      <c r="Y5" s="575"/>
      <c r="Z5" s="575"/>
      <c r="AA5" s="575"/>
      <c r="AB5" s="575"/>
      <c r="AC5" s="575"/>
      <c r="AD5" s="575"/>
      <c r="AE5" s="575"/>
      <c r="AF5" s="575"/>
      <c r="AG5" s="575"/>
      <c r="AH5" s="575"/>
      <c r="AI5" s="575"/>
      <c r="AJ5" s="575"/>
      <c r="AK5" s="575"/>
      <c r="AL5" s="4"/>
      <c r="AM5" s="4"/>
      <c r="AN5" s="4"/>
      <c r="AO5" s="4"/>
      <c r="AP5" s="4"/>
      <c r="AQ5" s="4"/>
      <c r="AR5" s="4"/>
      <c r="AS5" s="4"/>
      <c r="AT5" s="4"/>
      <c r="AU5" s="4"/>
      <c r="AV5" s="4"/>
      <c r="AW5" s="4"/>
      <c r="AX5" s="4"/>
      <c r="AY5" s="4"/>
      <c r="AZ5" s="4"/>
      <c r="BA5" s="4"/>
      <c r="BB5" s="4"/>
      <c r="BC5" s="4"/>
      <c r="BD5" s="4"/>
      <c r="BE5" s="4"/>
    </row>
    <row r="6" spans="1:57" x14ac:dyDescent="0.25">
      <c r="A6" s="4"/>
      <c r="B6" s="4"/>
      <c r="C6" s="4"/>
      <c r="D6" s="4"/>
      <c r="E6" s="4"/>
      <c r="F6" s="4"/>
      <c r="G6" s="4"/>
      <c r="H6" s="4"/>
      <c r="I6" s="4"/>
      <c r="J6" s="4"/>
      <c r="K6" s="4"/>
      <c r="L6" s="4"/>
      <c r="M6" s="4"/>
      <c r="N6" s="4"/>
      <c r="O6" s="4"/>
      <c r="P6" s="4"/>
      <c r="Q6" s="4"/>
      <c r="R6" s="4"/>
      <c r="S6" s="4"/>
      <c r="T6" s="4"/>
      <c r="U6" s="575"/>
      <c r="V6" s="575"/>
      <c r="W6" s="575"/>
      <c r="X6" s="575"/>
      <c r="Y6" s="575"/>
      <c r="Z6" s="575"/>
      <c r="AA6" s="575"/>
      <c r="AB6" s="575"/>
      <c r="AC6" s="575"/>
      <c r="AD6" s="575"/>
      <c r="AE6" s="575"/>
      <c r="AF6" s="575"/>
      <c r="AG6" s="575"/>
      <c r="AH6" s="575"/>
      <c r="AI6" s="575"/>
      <c r="AJ6" s="575"/>
      <c r="AK6" s="575"/>
      <c r="AL6" s="4"/>
      <c r="AM6" s="4"/>
      <c r="AN6" s="4"/>
      <c r="AO6" s="4"/>
      <c r="AP6" s="4"/>
      <c r="AQ6" s="4"/>
      <c r="AR6" s="4"/>
      <c r="AS6" s="4"/>
      <c r="AT6" s="4"/>
      <c r="AU6" s="4"/>
      <c r="AV6" s="4"/>
      <c r="AW6" s="4"/>
      <c r="AX6" s="4"/>
      <c r="AY6" s="4"/>
      <c r="AZ6" s="4"/>
      <c r="BA6" s="4"/>
      <c r="BB6" s="4"/>
      <c r="BC6" s="4"/>
      <c r="BD6" s="4"/>
      <c r="BE6" s="4"/>
    </row>
    <row r="7" spans="1:57" x14ac:dyDescent="0.25">
      <c r="A7" s="576"/>
      <c r="B7" s="576"/>
      <c r="C7" s="576"/>
      <c r="D7" s="576"/>
      <c r="E7" s="4"/>
      <c r="F7" s="8" t="s">
        <v>5</v>
      </c>
      <c r="G7" s="9"/>
      <c r="H7" s="9"/>
      <c r="I7" s="9"/>
      <c r="J7" s="9"/>
      <c r="K7" s="4"/>
      <c r="L7" s="4"/>
      <c r="M7" s="4"/>
      <c r="N7" s="4"/>
      <c r="O7" s="4"/>
      <c r="P7" s="4"/>
      <c r="Q7" s="4"/>
      <c r="R7" s="4"/>
      <c r="S7" s="4"/>
      <c r="T7" s="4"/>
      <c r="U7" s="575"/>
      <c r="V7" s="575"/>
      <c r="W7" s="575"/>
      <c r="X7" s="575"/>
      <c r="Y7" s="575"/>
      <c r="Z7" s="575"/>
      <c r="AA7" s="575"/>
      <c r="AB7" s="575"/>
      <c r="AC7" s="575"/>
      <c r="AD7" s="575"/>
      <c r="AE7" s="575"/>
      <c r="AF7" s="575"/>
      <c r="AG7" s="575"/>
      <c r="AH7" s="575"/>
      <c r="AI7" s="575"/>
      <c r="AJ7" s="575"/>
      <c r="AK7" s="575"/>
      <c r="AL7" s="4"/>
      <c r="AM7" s="4"/>
      <c r="AN7" s="4"/>
      <c r="AO7" s="4"/>
      <c r="AP7" s="4"/>
      <c r="AQ7" s="4"/>
      <c r="AR7" s="4"/>
      <c r="AS7" s="4"/>
      <c r="AT7" s="4"/>
      <c r="AU7" s="4"/>
      <c r="AV7" s="4"/>
      <c r="AW7" s="4"/>
      <c r="AX7" s="4"/>
      <c r="AY7" s="4"/>
      <c r="AZ7" s="4"/>
      <c r="BA7" s="4"/>
      <c r="BB7" s="4"/>
      <c r="BC7" s="4"/>
      <c r="BD7" s="4"/>
      <c r="BE7" s="4"/>
    </row>
    <row r="8" spans="1:57" x14ac:dyDescent="0.25">
      <c r="A8" s="10" t="s">
        <v>6</v>
      </c>
      <c r="B8" s="11" t="s">
        <v>149</v>
      </c>
      <c r="C8" s="12" t="s">
        <v>8</v>
      </c>
      <c r="D8" s="13">
        <f>D10*B11*8.34*10000</f>
        <v>415.04276879999998</v>
      </c>
      <c r="E8" s="4"/>
      <c r="F8" s="14"/>
      <c r="G8" s="15"/>
      <c r="H8" s="15"/>
      <c r="I8" s="16" t="s">
        <v>9</v>
      </c>
      <c r="J8" s="17"/>
      <c r="K8" s="4"/>
      <c r="L8" s="4"/>
      <c r="M8" s="4"/>
      <c r="N8" s="4"/>
      <c r="O8" s="4"/>
      <c r="P8" s="4"/>
      <c r="Q8" s="4"/>
      <c r="R8" s="4"/>
      <c r="S8" s="4"/>
      <c r="T8" s="4"/>
      <c r="U8" s="18"/>
      <c r="V8" s="19"/>
      <c r="W8" s="19"/>
      <c r="X8" s="19"/>
      <c r="Y8" s="19"/>
      <c r="Z8" s="19"/>
      <c r="AA8" s="19"/>
      <c r="AB8" s="19"/>
      <c r="AC8" s="19"/>
      <c r="AD8" s="19"/>
      <c r="AE8" s="19"/>
      <c r="AF8" s="19"/>
      <c r="AG8" s="19"/>
      <c r="AH8" s="19"/>
      <c r="AI8" s="19"/>
      <c r="AJ8" s="19"/>
      <c r="AK8" s="20"/>
      <c r="AL8" s="4"/>
      <c r="AM8" s="4"/>
      <c r="AN8" s="4"/>
      <c r="AO8" s="4"/>
      <c r="AP8" s="4"/>
      <c r="AQ8" s="4"/>
      <c r="AR8" s="4"/>
      <c r="AS8" s="4"/>
      <c r="AT8" s="4"/>
      <c r="AU8" s="4"/>
      <c r="AV8" s="4"/>
      <c r="AW8" s="4"/>
      <c r="AX8" s="4"/>
      <c r="AY8" s="4"/>
      <c r="AZ8" s="4"/>
      <c r="BA8" s="4"/>
      <c r="BB8" s="4"/>
      <c r="BC8" s="4"/>
      <c r="BD8" s="4"/>
      <c r="BE8" s="4"/>
    </row>
    <row r="9" spans="1:57" x14ac:dyDescent="0.25">
      <c r="A9" s="21" t="s">
        <v>10</v>
      </c>
      <c r="B9" s="11">
        <v>0.17699999999999999</v>
      </c>
      <c r="C9" s="22" t="s">
        <v>11</v>
      </c>
      <c r="D9" s="23">
        <f>B9*B10</f>
        <v>13.823699999999999</v>
      </c>
      <c r="E9" s="4"/>
      <c r="F9" s="24"/>
      <c r="G9" s="25" t="s">
        <v>12</v>
      </c>
      <c r="H9" s="25" t="s">
        <v>13</v>
      </c>
      <c r="I9" s="25" t="s">
        <v>14</v>
      </c>
      <c r="J9" s="25" t="s">
        <v>15</v>
      </c>
      <c r="K9" s="4"/>
      <c r="L9" s="4"/>
      <c r="M9" s="4"/>
      <c r="N9" s="4"/>
      <c r="O9" s="4"/>
      <c r="P9" s="4"/>
      <c r="Q9" s="4"/>
      <c r="R9" s="4"/>
      <c r="S9" s="4"/>
      <c r="T9" s="4"/>
      <c r="U9" s="26"/>
      <c r="V9" s="27"/>
      <c r="W9" s="27"/>
      <c r="X9" s="27"/>
      <c r="Y9" s="27"/>
      <c r="Z9" s="27"/>
      <c r="AA9" s="27"/>
      <c r="AB9" s="27"/>
      <c r="AC9" s="27"/>
      <c r="AD9" s="27"/>
      <c r="AE9" s="27"/>
      <c r="AF9" s="27"/>
      <c r="AG9" s="27"/>
      <c r="AH9" s="27"/>
      <c r="AI9" s="27"/>
      <c r="AJ9" s="27"/>
      <c r="AK9" s="28"/>
      <c r="AL9" s="4"/>
      <c r="AM9" s="4"/>
      <c r="AN9" s="4"/>
      <c r="AO9" s="4"/>
      <c r="AP9" s="4"/>
      <c r="AQ9" s="4"/>
      <c r="AR9" s="4"/>
      <c r="AS9" s="4"/>
      <c r="AT9" s="4"/>
      <c r="AU9" s="4"/>
      <c r="AV9" s="4"/>
      <c r="AW9" s="4"/>
      <c r="AX9" s="4"/>
      <c r="AY9" s="4"/>
      <c r="AZ9" s="4"/>
      <c r="BA9" s="4"/>
      <c r="BB9" s="4"/>
      <c r="BC9" s="4"/>
      <c r="BD9" s="4"/>
      <c r="BE9" s="4"/>
    </row>
    <row r="10" spans="1:57" x14ac:dyDescent="0.25">
      <c r="A10" s="21" t="s">
        <v>16</v>
      </c>
      <c r="B10" s="29">
        <v>78.099999999999994</v>
      </c>
      <c r="C10" s="22" t="s">
        <v>17</v>
      </c>
      <c r="D10" s="23">
        <f>D9*1440/1000000</f>
        <v>1.9906127999999999E-2</v>
      </c>
      <c r="E10" s="4"/>
      <c r="F10" s="24" t="s">
        <v>18</v>
      </c>
      <c r="G10" s="30" t="s">
        <v>19</v>
      </c>
      <c r="H10" s="31">
        <f>J70</f>
        <v>3.7999407189260097</v>
      </c>
      <c r="I10" s="31"/>
      <c r="J10" s="31"/>
      <c r="K10" s="4"/>
      <c r="L10" s="4"/>
      <c r="M10" s="4"/>
      <c r="N10" s="4"/>
      <c r="O10" s="4"/>
      <c r="P10" s="4"/>
      <c r="Q10" s="4"/>
      <c r="R10" s="4"/>
      <c r="S10" s="4"/>
      <c r="T10" s="4"/>
      <c r="U10" s="26"/>
      <c r="V10" s="27"/>
      <c r="W10" s="27"/>
      <c r="X10" s="27"/>
      <c r="Y10" s="27"/>
      <c r="Z10" s="27"/>
      <c r="AA10" s="27"/>
      <c r="AB10" s="27"/>
      <c r="AC10" s="27"/>
      <c r="AD10" s="27"/>
      <c r="AE10" s="27"/>
      <c r="AF10" s="27"/>
      <c r="AG10" s="27"/>
      <c r="AH10" s="27"/>
      <c r="AI10" s="27"/>
      <c r="AJ10" s="27"/>
      <c r="AK10" s="28"/>
      <c r="AL10" s="4"/>
      <c r="AM10" s="4"/>
      <c r="AN10" s="4"/>
      <c r="AO10" s="4"/>
      <c r="AP10" s="4"/>
      <c r="AQ10" s="4"/>
      <c r="AR10" s="4"/>
      <c r="AS10" s="4"/>
      <c r="AT10" s="4"/>
      <c r="AU10" s="4"/>
      <c r="AV10" s="4"/>
      <c r="AW10" s="4"/>
      <c r="AX10" s="4"/>
      <c r="AY10" s="4"/>
      <c r="AZ10" s="4"/>
      <c r="BA10" s="4"/>
      <c r="BB10" s="4"/>
      <c r="BC10" s="4"/>
      <c r="BD10" s="4"/>
      <c r="BE10" s="4"/>
    </row>
    <row r="11" spans="1:57" x14ac:dyDescent="0.25">
      <c r="A11" s="21" t="s">
        <v>20</v>
      </c>
      <c r="B11" s="32">
        <v>0.25</v>
      </c>
      <c r="C11" s="22" t="s">
        <v>21</v>
      </c>
      <c r="D11" s="23">
        <f>B10*1440/1000000</f>
        <v>0.11246399999999998</v>
      </c>
      <c r="E11" s="4"/>
      <c r="F11" s="24" t="s">
        <v>22</v>
      </c>
      <c r="G11" s="30" t="s">
        <v>23</v>
      </c>
      <c r="H11" s="33">
        <f>B9</f>
        <v>0.17699999999999999</v>
      </c>
      <c r="I11" s="33">
        <f>B9</f>
        <v>0.17699999999999999</v>
      </c>
      <c r="J11" s="33">
        <f>B9</f>
        <v>0.17699999999999999</v>
      </c>
      <c r="K11" s="4"/>
      <c r="L11" s="4"/>
      <c r="M11" s="4"/>
      <c r="N11" s="4"/>
      <c r="O11" s="4"/>
      <c r="P11" s="4"/>
      <c r="Q11" s="4"/>
      <c r="R11" s="4"/>
      <c r="S11" s="4"/>
      <c r="T11" s="4"/>
      <c r="U11" s="26"/>
      <c r="V11" s="27"/>
      <c r="W11" s="27"/>
      <c r="X11" s="27"/>
      <c r="Y11" s="27"/>
      <c r="Z11" s="27"/>
      <c r="AA11" s="27"/>
      <c r="AB11" s="27"/>
      <c r="AC11" s="27"/>
      <c r="AD11" s="27"/>
      <c r="AE11" s="27"/>
      <c r="AF11" s="27"/>
      <c r="AG11" s="27"/>
      <c r="AH11" s="27"/>
      <c r="AI11" s="27"/>
      <c r="AJ11" s="27"/>
      <c r="AK11" s="28"/>
      <c r="AL11" s="4"/>
      <c r="AM11" s="4"/>
      <c r="AN11" s="4"/>
      <c r="AO11" s="4"/>
      <c r="AP11" s="4"/>
      <c r="AQ11" s="4"/>
      <c r="AR11" s="4"/>
      <c r="AS11" s="4"/>
      <c r="AT11" s="4"/>
      <c r="AU11" s="4"/>
      <c r="AV11" s="4"/>
      <c r="AW11" s="4"/>
      <c r="AX11" s="4"/>
      <c r="AY11" s="4"/>
      <c r="AZ11" s="4"/>
      <c r="BA11" s="4"/>
      <c r="BB11" s="4"/>
      <c r="BC11" s="4"/>
      <c r="BD11" s="4"/>
      <c r="BE11" s="4"/>
    </row>
    <row r="12" spans="1:57" x14ac:dyDescent="0.25">
      <c r="A12" s="21" t="s">
        <v>24</v>
      </c>
      <c r="B12" s="34">
        <v>6.1</v>
      </c>
      <c r="C12" s="22" t="s">
        <v>25</v>
      </c>
      <c r="D12" s="23">
        <f>(B12/(1+(B15/B14)))</f>
        <v>3.4892494929006084</v>
      </c>
      <c r="E12" s="4"/>
      <c r="F12" s="24" t="s">
        <v>26</v>
      </c>
      <c r="G12" s="30" t="s">
        <v>27</v>
      </c>
      <c r="H12" s="35">
        <f>AS73</f>
        <v>25.953079178885631</v>
      </c>
      <c r="I12" s="36">
        <f>Y73</f>
        <v>32.741633515543377</v>
      </c>
      <c r="J12" s="36">
        <f>AN73</f>
        <v>23.620471108633257</v>
      </c>
      <c r="K12" s="4"/>
      <c r="L12" s="4"/>
      <c r="M12" s="4"/>
      <c r="N12" s="4"/>
      <c r="O12" s="4"/>
      <c r="P12" s="4"/>
      <c r="Q12" s="4"/>
      <c r="R12" s="4"/>
      <c r="S12" s="4"/>
      <c r="T12" s="4"/>
      <c r="U12" s="26"/>
      <c r="V12" s="27"/>
      <c r="W12" s="27"/>
      <c r="X12" s="27"/>
      <c r="Y12" s="27"/>
      <c r="Z12" s="27"/>
      <c r="AA12" s="27"/>
      <c r="AB12" s="27"/>
      <c r="AC12" s="27"/>
      <c r="AD12" s="27"/>
      <c r="AE12" s="27"/>
      <c r="AF12" s="27"/>
      <c r="AG12" s="27"/>
      <c r="AH12" s="27"/>
      <c r="AI12" s="27"/>
      <c r="AJ12" s="27"/>
      <c r="AK12" s="28"/>
      <c r="AL12" s="4"/>
      <c r="AM12" s="4"/>
      <c r="AN12" s="4"/>
      <c r="AO12" s="4"/>
      <c r="AP12" s="4"/>
      <c r="AQ12" s="4"/>
      <c r="AR12" s="4"/>
      <c r="AS12" s="4"/>
      <c r="AT12" s="4"/>
      <c r="AU12" s="4"/>
      <c r="AV12" s="4"/>
      <c r="AW12" s="4"/>
      <c r="AX12" s="4"/>
      <c r="AY12" s="4"/>
      <c r="AZ12" s="4"/>
      <c r="BA12" s="4"/>
      <c r="BB12" s="4"/>
      <c r="BC12" s="4"/>
      <c r="BD12" s="4"/>
      <c r="BE12" s="4"/>
    </row>
    <row r="13" spans="1:57" x14ac:dyDescent="0.25">
      <c r="A13" s="21" t="s">
        <v>28</v>
      </c>
      <c r="B13" s="37">
        <v>3.41</v>
      </c>
      <c r="C13" s="22" t="s">
        <v>29</v>
      </c>
      <c r="D13" s="23">
        <f>D11*D12*8.34*(10000/2000)</f>
        <v>16.363703622231235</v>
      </c>
      <c r="E13" s="4"/>
      <c r="F13" s="24" t="s">
        <v>30</v>
      </c>
      <c r="G13" s="30" t="s">
        <v>19</v>
      </c>
      <c r="H13" s="31">
        <f>J69</f>
        <v>28.97188287046578</v>
      </c>
      <c r="I13" s="36">
        <f>Z73</f>
        <v>29.734925689014489</v>
      </c>
      <c r="J13" s="36">
        <f>AO73</f>
        <v>32.889427083420557</v>
      </c>
      <c r="K13" s="4"/>
      <c r="L13" s="4"/>
      <c r="M13" s="4"/>
      <c r="N13" s="4"/>
      <c r="O13" s="4"/>
      <c r="P13" s="4"/>
      <c r="Q13" s="4"/>
      <c r="R13" s="4"/>
      <c r="S13" s="4"/>
      <c r="T13" s="4"/>
      <c r="U13" s="26"/>
      <c r="V13" s="27"/>
      <c r="W13" s="27"/>
      <c r="X13" s="27"/>
      <c r="Y13" s="27"/>
      <c r="Z13" s="27"/>
      <c r="AA13" s="27"/>
      <c r="AB13" s="27"/>
      <c r="AC13" s="27"/>
      <c r="AD13" s="27"/>
      <c r="AE13" s="27"/>
      <c r="AF13" s="27"/>
      <c r="AG13" s="27"/>
      <c r="AH13" s="27"/>
      <c r="AI13" s="27"/>
      <c r="AJ13" s="27"/>
      <c r="AK13" s="28"/>
      <c r="AL13" s="4"/>
      <c r="AM13" s="4"/>
      <c r="AN13" s="4"/>
      <c r="AO13" s="4"/>
      <c r="AP13" s="4"/>
      <c r="AQ13" s="4"/>
      <c r="AR13" s="4"/>
      <c r="AS13" s="4"/>
      <c r="AT13" s="4"/>
      <c r="AU13" s="4"/>
      <c r="AV13" s="4"/>
      <c r="AW13" s="4"/>
      <c r="AX13" s="4"/>
      <c r="AY13" s="4"/>
      <c r="AZ13" s="4"/>
      <c r="BA13" s="4"/>
      <c r="BB13" s="4"/>
      <c r="BC13" s="4"/>
      <c r="BD13" s="4"/>
      <c r="BE13" s="4"/>
    </row>
    <row r="14" spans="1:57" ht="31.5" x14ac:dyDescent="0.25">
      <c r="A14" s="21" t="s">
        <v>31</v>
      </c>
      <c r="B14" s="38">
        <v>282</v>
      </c>
      <c r="C14" s="22" t="s">
        <v>32</v>
      </c>
      <c r="D14" s="23">
        <f>D8/D13</f>
        <v>25.363620509243113</v>
      </c>
      <c r="E14" s="4"/>
      <c r="F14" s="24" t="s">
        <v>33</v>
      </c>
      <c r="G14" s="30" t="s">
        <v>34</v>
      </c>
      <c r="H14" s="31">
        <f>AU73</f>
        <v>580.00000000000273</v>
      </c>
      <c r="I14" s="36">
        <f>AA73</f>
        <v>334.99999999999642</v>
      </c>
      <c r="J14" s="36">
        <f>AP73</f>
        <v>834.99999999999682</v>
      </c>
      <c r="K14" s="4"/>
      <c r="L14" s="4"/>
      <c r="M14" s="4"/>
      <c r="N14" s="4"/>
      <c r="O14" s="4"/>
      <c r="P14" s="4"/>
      <c r="Q14" s="4"/>
      <c r="R14" s="4"/>
      <c r="S14" s="4"/>
      <c r="T14" s="4"/>
      <c r="U14" s="26"/>
      <c r="V14" s="27"/>
      <c r="W14" s="27"/>
      <c r="X14" s="27"/>
      <c r="Y14" s="27"/>
      <c r="Z14" s="27"/>
      <c r="AA14" s="27"/>
      <c r="AB14" s="27"/>
      <c r="AC14" s="27"/>
      <c r="AD14" s="27"/>
      <c r="AE14" s="27"/>
      <c r="AF14" s="27"/>
      <c r="AG14" s="27"/>
      <c r="AH14" s="27"/>
      <c r="AI14" s="27"/>
      <c r="AJ14" s="27"/>
      <c r="AK14" s="28"/>
      <c r="AL14" s="4"/>
      <c r="AM14" s="4"/>
      <c r="AN14" s="4"/>
      <c r="AO14" s="4"/>
      <c r="AP14" s="4"/>
      <c r="AQ14" s="4"/>
      <c r="AR14" s="4"/>
      <c r="AS14" s="4"/>
      <c r="AT14" s="4"/>
      <c r="AU14" s="4"/>
      <c r="AV14" s="4"/>
      <c r="AW14" s="4"/>
      <c r="AX14" s="4"/>
      <c r="AY14" s="4"/>
      <c r="AZ14" s="4"/>
      <c r="BA14" s="4"/>
      <c r="BB14" s="4"/>
      <c r="BC14" s="4"/>
      <c r="BD14" s="4"/>
      <c r="BE14" s="4"/>
    </row>
    <row r="15" spans="1:57" ht="31.5" x14ac:dyDescent="0.25">
      <c r="A15" s="39" t="s">
        <v>35</v>
      </c>
      <c r="B15" s="40">
        <v>211</v>
      </c>
      <c r="C15" s="41" t="s">
        <v>36</v>
      </c>
      <c r="D15" s="174">
        <f>((B9*B11)/B13)*2000</f>
        <v>25.953079178885631</v>
      </c>
      <c r="E15" s="4"/>
      <c r="F15" s="4"/>
      <c r="G15" s="4"/>
      <c r="H15" s="4"/>
      <c r="I15" s="4"/>
      <c r="J15" s="4"/>
      <c r="K15" s="4"/>
      <c r="L15" s="4"/>
      <c r="M15" s="4"/>
      <c r="N15" s="4"/>
      <c r="O15" s="4"/>
      <c r="P15" s="4"/>
      <c r="Q15" s="4"/>
      <c r="R15" s="4"/>
      <c r="S15" s="4"/>
      <c r="T15" s="4"/>
      <c r="U15" s="26"/>
      <c r="V15" s="27"/>
      <c r="W15" s="27"/>
      <c r="X15" s="27"/>
      <c r="Y15" s="27"/>
      <c r="Z15" s="27"/>
      <c r="AA15" s="27"/>
      <c r="AB15" s="27"/>
      <c r="AC15" s="27"/>
      <c r="AD15" s="27"/>
      <c r="AE15" s="27"/>
      <c r="AF15" s="27"/>
      <c r="AG15" s="27"/>
      <c r="AH15" s="27"/>
      <c r="AI15" s="27"/>
      <c r="AJ15" s="27"/>
      <c r="AK15" s="28"/>
      <c r="AL15" s="4"/>
      <c r="AM15" s="4"/>
      <c r="AN15" s="4"/>
      <c r="AO15" s="4"/>
      <c r="AP15" s="4"/>
      <c r="AQ15" s="4"/>
      <c r="AR15" s="4"/>
      <c r="AS15" s="4"/>
      <c r="AT15" s="4"/>
      <c r="AU15" s="4"/>
      <c r="AV15" s="4"/>
      <c r="AW15" s="4"/>
      <c r="AX15" s="4"/>
      <c r="AY15" s="4"/>
      <c r="AZ15" s="4"/>
      <c r="BA15" s="4"/>
      <c r="BB15" s="4"/>
      <c r="BC15" s="4"/>
      <c r="BD15" s="4"/>
      <c r="BE15" s="4"/>
    </row>
    <row r="16" spans="1:57" x14ac:dyDescent="0.25">
      <c r="A16" s="43"/>
      <c r="B16" s="43"/>
      <c r="C16" s="4"/>
      <c r="D16" s="4"/>
      <c r="E16" s="4"/>
      <c r="F16" s="4"/>
      <c r="G16" s="4"/>
      <c r="H16" s="4"/>
      <c r="I16" s="4"/>
      <c r="J16" s="4"/>
      <c r="K16" s="4"/>
      <c r="L16" s="4"/>
      <c r="M16" s="4"/>
      <c r="N16" s="4"/>
      <c r="O16" s="4"/>
      <c r="P16" s="4"/>
      <c r="Q16" s="4"/>
      <c r="R16" s="4"/>
      <c r="S16" s="4"/>
      <c r="T16" s="4"/>
      <c r="U16" s="26"/>
      <c r="V16" s="27"/>
      <c r="W16" s="27"/>
      <c r="X16" s="27"/>
      <c r="Y16" s="27"/>
      <c r="Z16" s="27"/>
      <c r="AA16" s="27"/>
      <c r="AB16" s="27"/>
      <c r="AC16" s="27"/>
      <c r="AD16" s="27"/>
      <c r="AE16" s="27"/>
      <c r="AF16" s="27"/>
      <c r="AG16" s="27"/>
      <c r="AH16" s="27"/>
      <c r="AI16" s="27"/>
      <c r="AJ16" s="27"/>
      <c r="AK16" s="28"/>
      <c r="AL16" s="4"/>
      <c r="AM16" s="4"/>
      <c r="AN16" s="4"/>
      <c r="AO16" s="4"/>
      <c r="AP16" s="4"/>
      <c r="AQ16" s="4"/>
      <c r="AR16" s="4"/>
      <c r="AS16" s="4"/>
      <c r="AT16" s="4"/>
      <c r="AU16" s="4"/>
      <c r="AV16" s="4"/>
      <c r="AW16" s="4"/>
      <c r="AX16" s="4"/>
      <c r="AY16" s="4"/>
      <c r="AZ16" s="4"/>
      <c r="BA16" s="4"/>
      <c r="BB16" s="4"/>
      <c r="BC16" s="4"/>
      <c r="BD16" s="4"/>
      <c r="BE16" s="4"/>
    </row>
    <row r="17" spans="1:57" ht="15.75" customHeight="1" outlineLevel="2" x14ac:dyDescent="0.25">
      <c r="A17" s="577" t="s">
        <v>37</v>
      </c>
      <c r="B17" s="577"/>
      <c r="C17" s="577"/>
      <c r="D17" s="4"/>
      <c r="E17" s="4"/>
      <c r="F17" s="4"/>
      <c r="G17" s="4"/>
      <c r="H17" s="4"/>
      <c r="I17" s="4"/>
      <c r="J17" s="4"/>
      <c r="K17" s="4"/>
      <c r="L17" s="4"/>
      <c r="M17" s="4"/>
      <c r="N17" s="4"/>
      <c r="O17" s="4"/>
      <c r="P17" s="4"/>
      <c r="Q17" s="4"/>
      <c r="R17" s="4"/>
      <c r="S17" s="4"/>
      <c r="T17" s="4"/>
      <c r="U17" s="26"/>
      <c r="V17" s="27"/>
      <c r="W17" s="27"/>
      <c r="X17" s="27"/>
      <c r="Y17" s="27"/>
      <c r="Z17" s="27"/>
      <c r="AA17" s="27"/>
      <c r="AB17" s="27"/>
      <c r="AC17" s="27"/>
      <c r="AD17" s="27"/>
      <c r="AE17" s="27"/>
      <c r="AF17" s="27"/>
      <c r="AG17" s="27"/>
      <c r="AH17" s="27"/>
      <c r="AI17" s="27"/>
      <c r="AJ17" s="27"/>
      <c r="AK17" s="28"/>
      <c r="AL17" s="4"/>
      <c r="AM17" s="4"/>
      <c r="AN17" s="4"/>
      <c r="AO17" s="4"/>
      <c r="AP17" s="4"/>
      <c r="AQ17" s="4"/>
      <c r="AR17" s="4"/>
      <c r="AS17" s="4"/>
      <c r="AT17" s="4"/>
      <c r="AU17" s="4"/>
      <c r="AV17" s="4"/>
      <c r="AW17" s="4"/>
      <c r="AX17" s="4"/>
      <c r="AY17" s="4"/>
      <c r="AZ17" s="4"/>
      <c r="BA17" s="4"/>
      <c r="BB17" s="4"/>
      <c r="BC17" s="4"/>
      <c r="BD17" s="4"/>
      <c r="BE17" s="4"/>
    </row>
    <row r="18" spans="1:57" outlineLevel="2" x14ac:dyDescent="0.25">
      <c r="A18" s="44"/>
      <c r="B18" s="12"/>
      <c r="C18" s="45"/>
      <c r="D18" s="4"/>
      <c r="E18" s="4"/>
      <c r="F18" s="4"/>
      <c r="G18" s="4"/>
      <c r="H18" s="4"/>
      <c r="I18" s="4"/>
      <c r="J18" s="4"/>
      <c r="K18" s="4"/>
      <c r="L18" s="4"/>
      <c r="M18" s="4"/>
      <c r="N18" s="4"/>
      <c r="O18" s="4"/>
      <c r="P18" s="4"/>
      <c r="Q18" s="4"/>
      <c r="R18" s="4"/>
      <c r="S18" s="4"/>
      <c r="T18" s="4"/>
      <c r="U18" s="26"/>
      <c r="V18" s="27"/>
      <c r="W18" s="27"/>
      <c r="X18" s="27"/>
      <c r="Y18" s="27"/>
      <c r="Z18" s="27"/>
      <c r="AA18" s="27"/>
      <c r="AB18" s="27"/>
      <c r="AC18" s="27"/>
      <c r="AD18" s="27"/>
      <c r="AE18" s="27"/>
      <c r="AF18" s="27"/>
      <c r="AG18" s="27"/>
      <c r="AH18" s="27"/>
      <c r="AI18" s="27"/>
      <c r="AJ18" s="27"/>
      <c r="AK18" s="28"/>
      <c r="AL18" s="4"/>
      <c r="AM18" s="4"/>
      <c r="AN18" s="4"/>
      <c r="AO18" s="4"/>
      <c r="AP18" s="4"/>
      <c r="AQ18" s="4"/>
      <c r="AR18" s="4"/>
      <c r="AS18" s="4"/>
      <c r="AT18" s="4"/>
      <c r="AU18" s="4"/>
      <c r="AV18" s="4"/>
      <c r="AW18" s="4"/>
      <c r="AX18" s="4"/>
      <c r="AY18" s="4"/>
      <c r="AZ18" s="4"/>
      <c r="BA18" s="4"/>
      <c r="BB18" s="4"/>
      <c r="BC18" s="4"/>
      <c r="BD18" s="4"/>
      <c r="BE18" s="4"/>
    </row>
    <row r="19" spans="1:57" outlineLevel="2" x14ac:dyDescent="0.25">
      <c r="A19" s="46" t="s">
        <v>38</v>
      </c>
      <c r="B19" s="47">
        <f>1/453.59237</f>
        <v>2.2046226218487759E-3</v>
      </c>
      <c r="C19" s="48" t="s">
        <v>39</v>
      </c>
      <c r="D19" s="4"/>
      <c r="E19" s="4"/>
      <c r="F19" s="4"/>
      <c r="G19" s="4"/>
      <c r="H19" s="4"/>
      <c r="I19" s="4"/>
      <c r="J19" s="4"/>
      <c r="K19" s="4"/>
      <c r="L19" s="4"/>
      <c r="M19" s="4"/>
      <c r="N19" s="4"/>
      <c r="O19" s="4"/>
      <c r="P19" s="4"/>
      <c r="Q19" s="4"/>
      <c r="R19" s="4"/>
      <c r="S19" s="4"/>
      <c r="T19" s="4"/>
      <c r="U19" s="26"/>
      <c r="V19" s="27"/>
      <c r="W19" s="27"/>
      <c r="X19" s="27"/>
      <c r="Y19" s="27"/>
      <c r="Z19" s="27"/>
      <c r="AA19" s="27"/>
      <c r="AB19" s="27"/>
      <c r="AC19" s="27"/>
      <c r="AD19" s="27"/>
      <c r="AE19" s="27"/>
      <c r="AF19" s="27"/>
      <c r="AG19" s="27"/>
      <c r="AH19" s="27"/>
      <c r="AI19" s="27"/>
      <c r="AJ19" s="27"/>
      <c r="AK19" s="28"/>
      <c r="AL19" s="4"/>
      <c r="AM19" s="4"/>
      <c r="AN19" s="4"/>
      <c r="AO19" s="4"/>
      <c r="AP19" s="4"/>
      <c r="AQ19" s="4"/>
      <c r="AR19" s="4"/>
      <c r="AS19" s="4"/>
      <c r="AT19" s="4"/>
      <c r="AU19" s="4"/>
      <c r="AV19" s="4"/>
      <c r="AW19" s="4"/>
      <c r="AX19" s="4"/>
      <c r="AY19" s="4"/>
      <c r="AZ19" s="4"/>
      <c r="BA19" s="4"/>
      <c r="BB19" s="4"/>
      <c r="BC19" s="4"/>
      <c r="BD19" s="4"/>
      <c r="BE19" s="4"/>
    </row>
    <row r="20" spans="1:57" outlineLevel="2" x14ac:dyDescent="0.25">
      <c r="A20" s="46" t="s">
        <v>38</v>
      </c>
      <c r="B20" s="47">
        <v>1.1023109950010101E-6</v>
      </c>
      <c r="C20" s="48" t="s">
        <v>40</v>
      </c>
      <c r="D20" s="4"/>
      <c r="E20" s="4"/>
      <c r="F20" s="4"/>
      <c r="G20" s="4"/>
      <c r="H20" s="4"/>
      <c r="I20" s="4"/>
      <c r="J20" s="4"/>
      <c r="K20" s="4"/>
      <c r="L20" s="4"/>
      <c r="M20" s="4"/>
      <c r="N20" s="4"/>
      <c r="O20" s="4"/>
      <c r="P20" s="4"/>
      <c r="Q20" s="4"/>
      <c r="R20" s="4"/>
      <c r="S20" s="4"/>
      <c r="T20" s="4"/>
      <c r="U20" s="26"/>
      <c r="V20" s="27"/>
      <c r="W20" s="27"/>
      <c r="X20" s="27"/>
      <c r="Y20" s="27"/>
      <c r="Z20" s="27"/>
      <c r="AA20" s="27"/>
      <c r="AB20" s="27"/>
      <c r="AC20" s="27"/>
      <c r="AD20" s="27"/>
      <c r="AE20" s="27"/>
      <c r="AF20" s="27"/>
      <c r="AG20" s="27"/>
      <c r="AH20" s="27"/>
      <c r="AI20" s="27"/>
      <c r="AJ20" s="27"/>
      <c r="AK20" s="28"/>
      <c r="AL20" s="4"/>
      <c r="AM20" s="4"/>
      <c r="AN20" s="4"/>
      <c r="AO20" s="4"/>
      <c r="AP20" s="4"/>
      <c r="AQ20" s="4"/>
      <c r="AR20" s="4"/>
      <c r="AS20" s="4"/>
      <c r="AT20" s="4"/>
      <c r="AU20" s="4"/>
      <c r="AV20" s="4"/>
      <c r="AW20" s="4"/>
      <c r="AX20" s="4"/>
      <c r="AY20" s="4"/>
      <c r="AZ20" s="4"/>
      <c r="BA20" s="4"/>
      <c r="BB20" s="4"/>
      <c r="BC20" s="4"/>
      <c r="BD20" s="4"/>
      <c r="BE20" s="4"/>
    </row>
    <row r="21" spans="1:57" outlineLevel="2" x14ac:dyDescent="0.25">
      <c r="A21" s="46" t="s">
        <v>41</v>
      </c>
      <c r="B21" s="47">
        <v>3.95</v>
      </c>
      <c r="C21" s="48" t="s">
        <v>42</v>
      </c>
      <c r="D21" s="4"/>
      <c r="E21" s="4"/>
      <c r="F21" s="4"/>
      <c r="G21" s="4"/>
      <c r="H21" s="4"/>
      <c r="I21" s="4"/>
      <c r="J21" s="4"/>
      <c r="K21" s="4"/>
      <c r="L21" s="4"/>
      <c r="M21" s="4"/>
      <c r="N21" s="4"/>
      <c r="O21" s="4"/>
      <c r="P21" s="4"/>
      <c r="Q21" s="4"/>
      <c r="R21" s="4"/>
      <c r="S21" s="4"/>
      <c r="T21" s="4"/>
      <c r="U21" s="26"/>
      <c r="V21" s="27"/>
      <c r="W21" s="27"/>
      <c r="X21" s="27"/>
      <c r="Y21" s="27"/>
      <c r="Z21" s="27"/>
      <c r="AA21" s="27"/>
      <c r="AB21" s="27"/>
      <c r="AC21" s="27"/>
      <c r="AD21" s="27"/>
      <c r="AE21" s="27"/>
      <c r="AF21" s="27"/>
      <c r="AG21" s="27"/>
      <c r="AH21" s="27"/>
      <c r="AI21" s="27"/>
      <c r="AJ21" s="27"/>
      <c r="AK21" s="28"/>
      <c r="AL21" s="4"/>
      <c r="AM21" s="4"/>
      <c r="AN21" s="4"/>
      <c r="AO21" s="4"/>
      <c r="AP21" s="4"/>
      <c r="AQ21" s="4"/>
      <c r="AR21" s="4"/>
      <c r="AS21" s="4"/>
      <c r="AT21" s="4"/>
      <c r="AU21" s="4"/>
      <c r="AV21" s="4"/>
      <c r="AW21" s="4"/>
      <c r="AX21" s="4"/>
      <c r="AY21" s="4"/>
      <c r="AZ21" s="4"/>
      <c r="BA21" s="4"/>
      <c r="BB21" s="4"/>
      <c r="BC21" s="4"/>
      <c r="BD21" s="4"/>
      <c r="BE21" s="4"/>
    </row>
    <row r="22" spans="1:57" ht="18" outlineLevel="2" x14ac:dyDescent="0.25">
      <c r="A22" s="46" t="s">
        <v>43</v>
      </c>
      <c r="B22" s="49">
        <f>((3.95/2)*0.0254)^2 * PI()</f>
        <v>7.9059034426187096E-3</v>
      </c>
      <c r="C22" s="48" t="s">
        <v>44</v>
      </c>
      <c r="D22" s="4"/>
      <c r="E22" s="4"/>
      <c r="F22" s="4"/>
      <c r="G22" s="4"/>
      <c r="H22" s="4"/>
      <c r="I22" s="4"/>
      <c r="J22" s="4"/>
      <c r="K22" s="4"/>
      <c r="L22" s="4"/>
      <c r="M22" s="4"/>
      <c r="N22" s="4"/>
      <c r="O22" s="4"/>
      <c r="P22" s="4"/>
      <c r="Q22" s="4"/>
      <c r="R22" s="4"/>
      <c r="S22" s="4"/>
      <c r="T22" s="4"/>
      <c r="U22" s="26"/>
      <c r="V22" s="27"/>
      <c r="W22" s="27"/>
      <c r="X22" s="27"/>
      <c r="Y22" s="27"/>
      <c r="Z22" s="27"/>
      <c r="AA22" s="27"/>
      <c r="AB22" s="27"/>
      <c r="AC22" s="27"/>
      <c r="AD22" s="27"/>
      <c r="AE22" s="27"/>
      <c r="AF22" s="27"/>
      <c r="AG22" s="27"/>
      <c r="AH22" s="27"/>
      <c r="AI22" s="27"/>
      <c r="AJ22" s="27"/>
      <c r="AK22" s="28"/>
      <c r="AL22" s="4"/>
      <c r="AM22" s="4"/>
      <c r="AN22" s="4"/>
      <c r="AO22" s="4"/>
      <c r="AP22" s="4"/>
      <c r="AQ22" s="4"/>
      <c r="AR22" s="4"/>
      <c r="AS22" s="4"/>
      <c r="AT22" s="4"/>
      <c r="AU22" s="4"/>
      <c r="AV22" s="4"/>
      <c r="AW22" s="4"/>
      <c r="AX22" s="4"/>
      <c r="AY22" s="4"/>
      <c r="AZ22" s="4"/>
      <c r="BA22" s="4"/>
      <c r="BB22" s="4"/>
      <c r="BC22" s="4"/>
      <c r="BD22" s="4"/>
      <c r="BE22" s="4"/>
    </row>
    <row r="23" spans="1:57" ht="18" outlineLevel="2" x14ac:dyDescent="0.25">
      <c r="A23" s="578" t="s">
        <v>45</v>
      </c>
      <c r="B23" s="578"/>
      <c r="C23" s="578"/>
      <c r="D23" s="4"/>
      <c r="E23" s="4"/>
      <c r="F23" s="4"/>
      <c r="G23" s="4"/>
      <c r="H23" s="4"/>
      <c r="I23" s="4"/>
      <c r="J23" s="4"/>
      <c r="K23" s="4"/>
      <c r="L23" s="4"/>
      <c r="M23" s="4"/>
      <c r="N23" s="4"/>
      <c r="O23" s="4"/>
      <c r="P23" s="4"/>
      <c r="Q23" s="4"/>
      <c r="R23" s="4"/>
      <c r="S23" s="4"/>
      <c r="T23" s="4"/>
      <c r="U23" s="26"/>
      <c r="V23" s="27"/>
      <c r="W23" s="27"/>
      <c r="X23" s="27"/>
      <c r="Y23" s="27"/>
      <c r="Z23" s="27"/>
      <c r="AA23" s="27"/>
      <c r="AB23" s="27"/>
      <c r="AC23" s="27"/>
      <c r="AD23" s="27"/>
      <c r="AE23" s="27"/>
      <c r="AF23" s="27"/>
      <c r="AG23" s="27"/>
      <c r="AH23" s="27"/>
      <c r="AI23" s="27"/>
      <c r="AJ23" s="27"/>
      <c r="AK23" s="28"/>
      <c r="AL23" s="4"/>
      <c r="AM23" s="4"/>
      <c r="AN23" s="4"/>
      <c r="AO23" s="4"/>
      <c r="AP23" s="4"/>
      <c r="AQ23" s="4"/>
      <c r="AR23" s="4"/>
      <c r="AS23" s="4"/>
      <c r="AT23" s="4"/>
      <c r="AU23" s="4"/>
      <c r="AV23" s="4"/>
      <c r="AW23" s="4"/>
      <c r="AX23" s="4"/>
      <c r="AY23" s="4"/>
      <c r="AZ23" s="4"/>
      <c r="BA23" s="4"/>
      <c r="BB23" s="4"/>
      <c r="BC23" s="4"/>
      <c r="BD23" s="4"/>
      <c r="BE23" s="4"/>
    </row>
    <row r="24" spans="1:57" outlineLevel="2" x14ac:dyDescent="0.25">
      <c r="A24" s="46" t="s">
        <v>46</v>
      </c>
      <c r="B24" s="50">
        <f>B22*0.8*1000</f>
        <v>6.3247227540949682</v>
      </c>
      <c r="C24" s="48" t="s">
        <v>47</v>
      </c>
      <c r="D24" s="4"/>
      <c r="E24" s="4"/>
      <c r="F24" s="4"/>
      <c r="G24" s="4"/>
      <c r="H24" s="4"/>
      <c r="I24" s="4"/>
      <c r="J24" s="4"/>
      <c r="K24" s="4"/>
      <c r="L24" s="4"/>
      <c r="M24" s="4"/>
      <c r="N24" s="4"/>
      <c r="O24" s="4"/>
      <c r="P24" s="4"/>
      <c r="Q24" s="4"/>
      <c r="R24" s="4"/>
      <c r="S24" s="4"/>
      <c r="T24" s="4"/>
      <c r="U24" s="26"/>
      <c r="V24" s="27"/>
      <c r="W24" s="27"/>
      <c r="X24" s="27"/>
      <c r="Y24" s="27"/>
      <c r="Z24" s="27"/>
      <c r="AA24" s="27"/>
      <c r="AB24" s="27"/>
      <c r="AC24" s="27"/>
      <c r="AD24" s="27"/>
      <c r="AE24" s="27"/>
      <c r="AF24" s="27"/>
      <c r="AG24" s="27"/>
      <c r="AH24" s="27"/>
      <c r="AI24" s="27"/>
      <c r="AJ24" s="27"/>
      <c r="AK24" s="28"/>
      <c r="AL24" s="4"/>
      <c r="AM24" s="4"/>
      <c r="AN24" s="4"/>
      <c r="AO24" s="4"/>
      <c r="AP24" s="4"/>
      <c r="AQ24" s="4"/>
      <c r="AR24" s="4"/>
      <c r="AS24" s="4"/>
      <c r="AT24" s="4"/>
      <c r="AU24" s="4"/>
      <c r="AV24" s="4"/>
      <c r="AW24" s="4"/>
      <c r="AX24" s="4"/>
      <c r="AY24" s="4"/>
      <c r="AZ24" s="4"/>
      <c r="BA24" s="4"/>
      <c r="BB24" s="4"/>
      <c r="BC24" s="4"/>
      <c r="BD24" s="4"/>
      <c r="BE24" s="4"/>
    </row>
    <row r="25" spans="1:57" ht="16.5" customHeight="1" outlineLevel="2" x14ac:dyDescent="0.25">
      <c r="A25" s="46" t="s">
        <v>48</v>
      </c>
      <c r="B25" s="50">
        <v>3.5</v>
      </c>
      <c r="C25" s="48" t="s">
        <v>49</v>
      </c>
      <c r="D25" s="4"/>
      <c r="E25" s="4"/>
      <c r="F25" s="4"/>
      <c r="G25" s="4"/>
      <c r="H25" s="4"/>
      <c r="I25" s="4"/>
      <c r="J25" s="4"/>
      <c r="K25" s="4"/>
      <c r="L25" s="4"/>
      <c r="M25" s="4"/>
      <c r="N25" s="4"/>
      <c r="O25" s="4"/>
      <c r="P25" s="4"/>
      <c r="Q25" s="4"/>
      <c r="R25" s="4"/>
      <c r="S25" s="4"/>
      <c r="T25" s="4"/>
      <c r="U25" s="26"/>
      <c r="V25" s="27"/>
      <c r="W25" s="27"/>
      <c r="X25" s="27"/>
      <c r="Y25" s="27"/>
      <c r="Z25" s="27"/>
      <c r="AA25" s="27"/>
      <c r="AB25" s="27"/>
      <c r="AC25" s="27"/>
      <c r="AD25" s="27"/>
      <c r="AE25" s="27"/>
      <c r="AF25" s="27"/>
      <c r="AG25" s="27"/>
      <c r="AH25" s="27"/>
      <c r="AI25" s="27"/>
      <c r="AJ25" s="27"/>
      <c r="AK25" s="28"/>
      <c r="AL25" s="4"/>
      <c r="AM25" s="4"/>
      <c r="AN25" s="4"/>
      <c r="AO25" s="4"/>
      <c r="AP25" s="4"/>
      <c r="AQ25" s="4"/>
      <c r="AR25" s="4"/>
      <c r="AS25" s="4"/>
      <c r="AT25" s="4"/>
      <c r="AU25" s="4"/>
      <c r="AV25" s="4"/>
      <c r="AW25" s="4"/>
      <c r="AX25" s="4"/>
      <c r="AY25" s="4"/>
      <c r="AZ25" s="4"/>
      <c r="BA25" s="4"/>
      <c r="BB25" s="4"/>
      <c r="BC25" s="4"/>
      <c r="BD25" s="4"/>
      <c r="BE25" s="4"/>
    </row>
    <row r="26" spans="1:57" ht="16.5" customHeight="1" outlineLevel="2" x14ac:dyDescent="0.25">
      <c r="A26" s="578" t="s">
        <v>50</v>
      </c>
      <c r="B26" s="578"/>
      <c r="C26" s="578"/>
      <c r="D26" s="4"/>
      <c r="E26" s="4"/>
      <c r="F26" s="4"/>
      <c r="G26" s="4"/>
      <c r="H26" s="4"/>
      <c r="I26" s="4"/>
      <c r="J26" s="4"/>
      <c r="K26" s="4"/>
      <c r="L26" s="4"/>
      <c r="M26" s="4"/>
      <c r="N26" s="4"/>
      <c r="O26" s="4"/>
      <c r="P26" s="4"/>
      <c r="Q26" s="4"/>
      <c r="R26" s="4"/>
      <c r="S26" s="4"/>
      <c r="T26" s="4"/>
      <c r="U26" s="26"/>
      <c r="V26" s="27"/>
      <c r="W26" s="27"/>
      <c r="X26" s="27"/>
      <c r="Y26" s="27"/>
      <c r="Z26" s="27"/>
      <c r="AA26" s="27"/>
      <c r="AB26" s="27"/>
      <c r="AC26" s="27"/>
      <c r="AD26" s="27"/>
      <c r="AE26" s="27"/>
      <c r="AF26" s="27"/>
      <c r="AG26" s="27"/>
      <c r="AH26" s="27"/>
      <c r="AI26" s="27"/>
      <c r="AJ26" s="27"/>
      <c r="AK26" s="28"/>
      <c r="AL26" s="4"/>
      <c r="AM26" s="4"/>
      <c r="AN26" s="4"/>
      <c r="AO26" s="4"/>
      <c r="AP26" s="4"/>
      <c r="AQ26" s="4"/>
      <c r="AR26" s="4"/>
      <c r="AS26" s="4"/>
      <c r="AT26" s="4"/>
      <c r="AU26" s="4"/>
      <c r="AV26" s="4"/>
      <c r="AW26" s="4"/>
      <c r="AX26" s="4"/>
      <c r="AY26" s="4"/>
      <c r="AZ26" s="4"/>
      <c r="BA26" s="4"/>
      <c r="BB26" s="4"/>
      <c r="BC26" s="4"/>
      <c r="BD26" s="4"/>
      <c r="BE26" s="4"/>
    </row>
    <row r="27" spans="1:57" outlineLevel="2" x14ac:dyDescent="0.25">
      <c r="A27" s="46" t="s">
        <v>51</v>
      </c>
      <c r="B27" s="50">
        <v>0.25</v>
      </c>
      <c r="C27" s="48"/>
      <c r="D27" s="4"/>
      <c r="E27" s="4"/>
      <c r="F27" s="4"/>
      <c r="G27" s="4"/>
      <c r="H27" s="4"/>
      <c r="I27" s="4"/>
      <c r="J27" s="4"/>
      <c r="K27" s="4"/>
      <c r="L27" s="4"/>
      <c r="M27" s="4"/>
      <c r="N27" s="4"/>
      <c r="O27" s="4"/>
      <c r="P27" s="4"/>
      <c r="Q27" s="4"/>
      <c r="R27" s="4"/>
      <c r="S27" s="4"/>
      <c r="T27" s="4"/>
      <c r="U27" s="26"/>
      <c r="V27" s="27"/>
      <c r="W27" s="27"/>
      <c r="X27" s="27"/>
      <c r="Y27" s="27"/>
      <c r="Z27" s="27"/>
      <c r="AA27" s="27"/>
      <c r="AB27" s="27"/>
      <c r="AC27" s="27"/>
      <c r="AD27" s="27"/>
      <c r="AE27" s="27"/>
      <c r="AF27" s="27"/>
      <c r="AG27" s="27"/>
      <c r="AH27" s="27"/>
      <c r="AI27" s="27"/>
      <c r="AJ27" s="27"/>
      <c r="AK27" s="28"/>
      <c r="AL27" s="4"/>
      <c r="AM27" s="4"/>
      <c r="AN27" s="4"/>
      <c r="AO27" s="4"/>
      <c r="AP27" s="4"/>
      <c r="AQ27" s="4"/>
      <c r="AR27" s="4"/>
      <c r="AS27" s="4"/>
      <c r="AT27" s="4"/>
      <c r="AU27" s="4"/>
      <c r="AV27" s="4"/>
      <c r="AW27" s="4"/>
      <c r="AX27" s="4"/>
      <c r="AY27" s="4"/>
      <c r="AZ27" s="4"/>
      <c r="BA27" s="4"/>
      <c r="BB27" s="4"/>
      <c r="BC27" s="4"/>
      <c r="BD27" s="4"/>
    </row>
    <row r="28" spans="1:57" outlineLevel="2" x14ac:dyDescent="0.25">
      <c r="A28" s="51" t="s">
        <v>52</v>
      </c>
      <c r="B28" s="52" t="s">
        <v>53</v>
      </c>
      <c r="C28" s="53" t="s">
        <v>54</v>
      </c>
      <c r="D28" s="4"/>
      <c r="E28" s="4"/>
      <c r="F28" s="4"/>
      <c r="G28" s="4"/>
      <c r="H28" s="4"/>
      <c r="I28" s="4"/>
      <c r="J28" s="4"/>
      <c r="K28" s="4"/>
      <c r="L28" s="4"/>
      <c r="M28" s="4"/>
      <c r="N28" s="4"/>
      <c r="O28" s="4"/>
      <c r="P28" s="4"/>
      <c r="Q28" s="4"/>
      <c r="R28" s="4"/>
      <c r="S28" s="4"/>
      <c r="T28" s="4"/>
      <c r="U28" s="26"/>
      <c r="V28" s="27"/>
      <c r="W28" s="27"/>
      <c r="X28" s="27"/>
      <c r="Y28" s="27"/>
      <c r="Z28" s="27"/>
      <c r="AA28" s="27"/>
      <c r="AB28" s="27"/>
      <c r="AC28" s="27"/>
      <c r="AD28" s="27"/>
      <c r="AE28" s="27"/>
      <c r="AF28" s="27"/>
      <c r="AG28" s="27"/>
      <c r="AH28" s="27"/>
      <c r="AI28" s="27"/>
      <c r="AJ28" s="27"/>
      <c r="AK28" s="28"/>
      <c r="AL28" s="4"/>
      <c r="AM28" s="4"/>
      <c r="AN28" s="4"/>
      <c r="AO28" s="4"/>
      <c r="AP28" s="4"/>
      <c r="AQ28" s="4"/>
      <c r="AR28" s="4"/>
      <c r="AS28" s="4"/>
      <c r="AT28" s="4"/>
      <c r="AU28" s="4"/>
      <c r="AV28" s="4"/>
      <c r="AW28" s="4"/>
      <c r="AX28" s="4"/>
      <c r="AY28" s="4"/>
      <c r="AZ28" s="4"/>
      <c r="BA28" s="4"/>
      <c r="BB28" s="4"/>
      <c r="BC28" s="4"/>
      <c r="BD28" s="4"/>
    </row>
    <row r="29" spans="1:57" x14ac:dyDescent="0.25">
      <c r="A29" s="4"/>
      <c r="B29" s="4"/>
      <c r="C29" s="4"/>
      <c r="D29" s="4"/>
      <c r="E29" s="4"/>
      <c r="F29" s="4"/>
      <c r="G29" s="4"/>
      <c r="H29" s="4"/>
      <c r="I29" s="4"/>
      <c r="J29" s="4"/>
      <c r="K29" s="4"/>
      <c r="L29" s="4"/>
      <c r="M29" s="4"/>
      <c r="N29" s="4"/>
      <c r="O29" s="4"/>
      <c r="P29" s="4"/>
      <c r="Q29" s="4"/>
      <c r="R29" s="4"/>
      <c r="S29" s="4"/>
      <c r="T29" s="4"/>
      <c r="U29" s="26"/>
      <c r="V29" s="27"/>
      <c r="W29" s="27"/>
      <c r="X29" s="27"/>
      <c r="Y29" s="27"/>
      <c r="Z29" s="27"/>
      <c r="AA29" s="27"/>
      <c r="AB29" s="27"/>
      <c r="AC29" s="27"/>
      <c r="AD29" s="27"/>
      <c r="AE29" s="27"/>
      <c r="AF29" s="27"/>
      <c r="AG29" s="27"/>
      <c r="AH29" s="27"/>
      <c r="AI29" s="27"/>
      <c r="AJ29" s="27"/>
      <c r="AK29" s="28"/>
      <c r="AL29" s="4"/>
      <c r="AM29" s="4"/>
      <c r="AN29" s="4"/>
      <c r="AO29" s="4"/>
      <c r="AP29" s="4"/>
      <c r="AQ29" s="4"/>
      <c r="AR29" s="4"/>
      <c r="AS29" s="4"/>
      <c r="AT29" s="4"/>
      <c r="AU29" s="4"/>
      <c r="AV29" s="4"/>
      <c r="AW29" s="4"/>
      <c r="AX29" s="4"/>
      <c r="AY29" s="4"/>
      <c r="AZ29" s="4"/>
      <c r="BA29" s="4"/>
      <c r="BB29" s="4"/>
      <c r="BC29" s="4"/>
      <c r="BD29" s="4"/>
    </row>
    <row r="30" spans="1:57" x14ac:dyDescent="0.25">
      <c r="A30" s="6"/>
      <c r="B30" s="4"/>
      <c r="C30" s="4"/>
      <c r="D30" s="4"/>
      <c r="E30" s="4"/>
      <c r="F30" s="4"/>
      <c r="G30" s="4"/>
      <c r="H30" s="4"/>
      <c r="I30" s="4"/>
      <c r="J30" s="4"/>
      <c r="K30" s="4"/>
      <c r="L30" s="4"/>
      <c r="M30" s="4"/>
      <c r="N30" s="4"/>
      <c r="O30" s="4"/>
      <c r="P30" s="4"/>
      <c r="Q30" s="4"/>
      <c r="R30" s="4"/>
      <c r="S30" s="4"/>
      <c r="T30" s="4"/>
      <c r="U30" s="26"/>
      <c r="V30" s="27"/>
      <c r="W30" s="27"/>
      <c r="X30" s="27"/>
      <c r="Y30" s="27"/>
      <c r="Z30" s="27"/>
      <c r="AA30" s="27"/>
      <c r="AB30" s="27"/>
      <c r="AC30" s="27"/>
      <c r="AD30" s="27"/>
      <c r="AE30" s="27"/>
      <c r="AF30" s="27"/>
      <c r="AG30" s="27"/>
      <c r="AH30" s="27"/>
      <c r="AI30" s="27"/>
      <c r="AJ30" s="27"/>
      <c r="AK30" s="28"/>
      <c r="AL30" s="4"/>
      <c r="AM30" s="4"/>
      <c r="AN30" s="4"/>
      <c r="AO30" s="4"/>
      <c r="AP30" s="4"/>
      <c r="AQ30" s="4"/>
      <c r="AR30" s="4"/>
      <c r="AS30" s="4"/>
      <c r="AT30" s="4"/>
      <c r="AU30" s="4"/>
      <c r="AV30" s="4"/>
      <c r="AW30" s="4"/>
      <c r="AX30" s="4"/>
      <c r="AY30" s="4"/>
      <c r="AZ30" s="4"/>
      <c r="BA30" s="4"/>
      <c r="BB30" s="4"/>
      <c r="BC30" s="4"/>
      <c r="BD30" s="4"/>
    </row>
    <row r="31" spans="1:57" ht="18.75" x14ac:dyDescent="0.3">
      <c r="A31" s="579" t="s">
        <v>55</v>
      </c>
      <c r="B31" s="579"/>
      <c r="C31" s="579"/>
      <c r="D31" s="579"/>
      <c r="E31" s="579"/>
      <c r="F31" s="579"/>
      <c r="G31" s="579"/>
      <c r="H31" s="579"/>
      <c r="I31" s="579"/>
      <c r="J31" s="579"/>
      <c r="K31" s="579"/>
      <c r="L31" s="579"/>
      <c r="M31" s="579"/>
      <c r="N31" s="579"/>
      <c r="O31" s="579"/>
      <c r="P31" s="579"/>
      <c r="Q31" s="579"/>
      <c r="R31" s="579"/>
      <c r="S31" s="54"/>
      <c r="T31" s="54"/>
      <c r="U31" s="26"/>
      <c r="V31" s="27"/>
      <c r="W31" s="27"/>
      <c r="X31" s="27"/>
      <c r="Y31" s="27"/>
      <c r="Z31" s="27"/>
      <c r="AA31" s="27"/>
      <c r="AB31" s="27"/>
      <c r="AC31" s="27"/>
      <c r="AD31" s="27"/>
      <c r="AE31" s="27"/>
      <c r="AF31" s="27"/>
      <c r="AG31" s="27"/>
      <c r="AH31" s="27"/>
      <c r="AI31" s="27"/>
      <c r="AJ31" s="27"/>
      <c r="AK31" s="28"/>
      <c r="AL31" s="4"/>
      <c r="AM31" s="4"/>
      <c r="AN31" s="4"/>
      <c r="AO31" s="4"/>
      <c r="AP31" s="4"/>
      <c r="AQ31" s="4"/>
      <c r="AR31" s="4"/>
      <c r="AS31" s="4"/>
      <c r="AT31" s="4"/>
      <c r="AU31" s="4"/>
      <c r="AV31" s="4"/>
      <c r="AW31" s="4"/>
      <c r="AX31" s="4"/>
      <c r="AY31" s="4"/>
      <c r="AZ31" s="4"/>
      <c r="BA31" s="4"/>
      <c r="BB31" s="4"/>
      <c r="BC31" s="4"/>
      <c r="BD31" s="4"/>
    </row>
    <row r="32" spans="1:57" ht="63" x14ac:dyDescent="0.25">
      <c r="A32" s="55" t="s">
        <v>56</v>
      </c>
      <c r="B32" s="56" t="s">
        <v>57</v>
      </c>
      <c r="C32" s="56" t="s">
        <v>58</v>
      </c>
      <c r="D32" s="56" t="s">
        <v>59</v>
      </c>
      <c r="E32" s="56" t="s">
        <v>60</v>
      </c>
      <c r="F32" s="56" t="s">
        <v>61</v>
      </c>
      <c r="G32" s="56" t="s">
        <v>62</v>
      </c>
      <c r="H32" s="56" t="s">
        <v>63</v>
      </c>
      <c r="I32" s="56" t="s">
        <v>64</v>
      </c>
      <c r="J32" s="56" t="s">
        <v>65</v>
      </c>
      <c r="K32" s="56" t="s">
        <v>66</v>
      </c>
      <c r="L32" s="56" t="s">
        <v>67</v>
      </c>
      <c r="M32" s="56" t="s">
        <v>68</v>
      </c>
      <c r="N32" s="56" t="s">
        <v>69</v>
      </c>
      <c r="O32" s="56" t="s">
        <v>70</v>
      </c>
      <c r="P32" s="56" t="s">
        <v>71</v>
      </c>
      <c r="Q32" s="56" t="s">
        <v>72</v>
      </c>
      <c r="R32" s="57" t="s">
        <v>73</v>
      </c>
      <c r="S32" s="58"/>
      <c r="T32" s="58"/>
      <c r="U32" s="26"/>
      <c r="V32" s="27"/>
      <c r="W32" s="27"/>
      <c r="X32" s="27"/>
      <c r="Y32" s="27"/>
      <c r="Z32" s="27"/>
      <c r="AA32" s="27"/>
      <c r="AB32" s="27"/>
      <c r="AC32" s="27"/>
      <c r="AD32" s="27"/>
      <c r="AE32" s="27"/>
      <c r="AF32" s="27"/>
      <c r="AG32" s="27"/>
      <c r="AH32" s="27"/>
      <c r="AI32" s="27"/>
      <c r="AJ32" s="27"/>
      <c r="AK32" s="28"/>
      <c r="AL32" s="4"/>
      <c r="AM32" s="4"/>
      <c r="AN32" s="4"/>
      <c r="AO32" s="4"/>
      <c r="AP32" s="4"/>
      <c r="AQ32" s="4"/>
      <c r="AR32" s="4"/>
      <c r="AS32" s="4"/>
      <c r="AT32" s="4"/>
      <c r="AU32" s="4"/>
      <c r="AV32" s="4"/>
      <c r="AW32" s="4"/>
      <c r="AX32" s="4"/>
      <c r="AY32" s="4"/>
      <c r="AZ32" s="4"/>
      <c r="BA32" s="4"/>
      <c r="BB32" s="4"/>
      <c r="BC32" s="4"/>
      <c r="BD32" s="4"/>
    </row>
    <row r="33" spans="1:56" x14ac:dyDescent="0.25">
      <c r="A33" s="59">
        <v>1</v>
      </c>
      <c r="B33" s="60">
        <v>19.5</v>
      </c>
      <c r="C33" s="60">
        <v>3.41</v>
      </c>
      <c r="D33" s="60">
        <v>500.54</v>
      </c>
      <c r="E33" s="61">
        <f t="shared" ref="E33:E38" si="0">(B33*D33*$B$20*C33)/($B$19*$B$27)</f>
        <v>66.566795521893198</v>
      </c>
      <c r="F33" s="62">
        <v>70.28</v>
      </c>
      <c r="G33" s="62">
        <v>1.98</v>
      </c>
      <c r="H33" s="63">
        <f t="shared" ref="H33:H38" si="1">F33-G33</f>
        <v>68.3</v>
      </c>
      <c r="I33" s="64">
        <f t="shared" ref="I33:I38" si="2">(H33*$B$27*$B$19)/ (D33*$B$20*C33)</f>
        <v>20.007722912874286</v>
      </c>
      <c r="J33" s="60">
        <v>206.78</v>
      </c>
      <c r="K33" s="60">
        <v>409.17</v>
      </c>
      <c r="L33" s="60">
        <v>347.93</v>
      </c>
      <c r="M33" s="60">
        <v>779.21</v>
      </c>
      <c r="N33" s="61">
        <v>100</v>
      </c>
      <c r="O33" s="65">
        <f t="shared" ref="O33:P38" si="3">L33-J33</f>
        <v>141.15</v>
      </c>
      <c r="P33" s="61">
        <f t="shared" si="3"/>
        <v>370.04</v>
      </c>
      <c r="Q33" s="61">
        <f t="shared" ref="Q33:Q38" si="4">((O33+P33)/O33)*(D33/(D33+H33))*C33</f>
        <v>10.866870897645969</v>
      </c>
      <c r="R33" s="66">
        <f t="shared" ref="R33:R38" si="5">$B$24/Q33*100</f>
        <v>58.2018762684027</v>
      </c>
      <c r="S33" s="67"/>
      <c r="T33" s="67"/>
      <c r="U33" s="26"/>
      <c r="V33" s="27"/>
      <c r="W33" s="27"/>
      <c r="X33" s="27"/>
      <c r="Y33" s="27"/>
      <c r="Z33" s="27"/>
      <c r="AA33" s="27"/>
      <c r="AB33" s="27"/>
      <c r="AC33" s="27"/>
      <c r="AD33" s="27"/>
      <c r="AE33" s="27"/>
      <c r="AF33" s="27"/>
      <c r="AG33" s="27"/>
      <c r="AH33" s="27"/>
      <c r="AI33" s="27"/>
      <c r="AJ33" s="27"/>
      <c r="AK33" s="28"/>
      <c r="AL33" s="4"/>
      <c r="AM33" s="4"/>
      <c r="AN33" s="4"/>
      <c r="AO33" s="4"/>
      <c r="AP33" s="4"/>
      <c r="AQ33" s="4"/>
      <c r="AR33" s="4"/>
      <c r="AS33" s="4"/>
      <c r="AT33" s="4"/>
      <c r="AU33" s="4"/>
      <c r="AV33" s="4"/>
      <c r="AW33" s="4"/>
      <c r="AX33" s="4"/>
      <c r="AY33" s="4"/>
      <c r="AZ33" s="4"/>
      <c r="BA33" s="4"/>
      <c r="BB33" s="4"/>
      <c r="BC33" s="4"/>
      <c r="BD33" s="4"/>
    </row>
    <row r="34" spans="1:56" x14ac:dyDescent="0.25">
      <c r="A34" s="59">
        <v>2</v>
      </c>
      <c r="B34" s="60">
        <v>23</v>
      </c>
      <c r="C34" s="60">
        <v>3.41</v>
      </c>
      <c r="D34" s="60">
        <v>503.13</v>
      </c>
      <c r="E34" s="61">
        <f t="shared" si="0"/>
        <v>78.92094918118103</v>
      </c>
      <c r="F34" s="62">
        <v>83.55</v>
      </c>
      <c r="G34" s="62">
        <v>2.5</v>
      </c>
      <c r="H34" s="68">
        <f t="shared" si="1"/>
        <v>81.05</v>
      </c>
      <c r="I34" s="64">
        <f t="shared" si="2"/>
        <v>23.620471108633257</v>
      </c>
      <c r="J34" s="60">
        <v>205.82</v>
      </c>
      <c r="K34" s="60">
        <v>408.9</v>
      </c>
      <c r="L34" s="60">
        <v>347.35</v>
      </c>
      <c r="M34" s="60">
        <v>782.64</v>
      </c>
      <c r="N34" s="61">
        <v>100</v>
      </c>
      <c r="O34" s="65">
        <f t="shared" si="3"/>
        <v>141.53000000000003</v>
      </c>
      <c r="P34" s="61">
        <f t="shared" si="3"/>
        <v>373.74</v>
      </c>
      <c r="Q34" s="61">
        <f t="shared" si="4"/>
        <v>10.69237690920226</v>
      </c>
      <c r="R34" s="66">
        <f t="shared" si="5"/>
        <v>59.151700391815368</v>
      </c>
      <c r="S34" s="67"/>
      <c r="T34" s="67"/>
      <c r="U34" s="26"/>
      <c r="V34" s="27"/>
      <c r="W34" s="27"/>
      <c r="X34" s="27"/>
      <c r="Y34" s="27"/>
      <c r="Z34" s="27"/>
      <c r="AA34" s="27"/>
      <c r="AB34" s="27"/>
      <c r="AC34" s="27"/>
      <c r="AD34" s="27"/>
      <c r="AE34" s="27"/>
      <c r="AF34" s="27"/>
      <c r="AG34" s="27"/>
      <c r="AH34" s="27"/>
      <c r="AI34" s="27"/>
      <c r="AJ34" s="27"/>
      <c r="AK34" s="28"/>
      <c r="AL34" s="4"/>
      <c r="AM34" s="4"/>
      <c r="AN34" s="4"/>
      <c r="AO34" s="4"/>
      <c r="AP34" s="4"/>
      <c r="AQ34" s="4"/>
      <c r="AR34" s="4"/>
      <c r="AS34" s="4"/>
      <c r="AT34" s="4"/>
      <c r="AU34" s="4"/>
      <c r="AV34" s="4"/>
      <c r="AW34" s="4"/>
      <c r="AX34" s="4"/>
      <c r="AY34" s="4"/>
      <c r="AZ34" s="4"/>
      <c r="BA34" s="4"/>
      <c r="BB34" s="4"/>
      <c r="BC34" s="4"/>
      <c r="BD34" s="4"/>
    </row>
    <row r="35" spans="1:56" x14ac:dyDescent="0.25">
      <c r="A35" s="59">
        <v>3</v>
      </c>
      <c r="B35" s="69">
        <v>26</v>
      </c>
      <c r="C35" s="60">
        <v>3.41</v>
      </c>
      <c r="D35" s="60">
        <v>509.78</v>
      </c>
      <c r="E35" s="61">
        <f t="shared" si="0"/>
        <v>90.394163692946847</v>
      </c>
      <c r="F35" s="62">
        <v>97.51</v>
      </c>
      <c r="G35" s="62">
        <v>2.74</v>
      </c>
      <c r="H35" s="68">
        <f t="shared" si="1"/>
        <v>94.77000000000001</v>
      </c>
      <c r="I35" s="64">
        <f t="shared" si="2"/>
        <v>27.258618248517067</v>
      </c>
      <c r="J35" s="60">
        <v>159.41999999999999</v>
      </c>
      <c r="K35" s="60">
        <v>408.25</v>
      </c>
      <c r="L35" s="60">
        <v>295.74</v>
      </c>
      <c r="M35" s="60">
        <v>827.41</v>
      </c>
      <c r="N35" s="61">
        <v>100</v>
      </c>
      <c r="O35" s="65">
        <f t="shared" si="3"/>
        <v>136.32000000000002</v>
      </c>
      <c r="P35" s="61">
        <f t="shared" si="3"/>
        <v>419.15999999999997</v>
      </c>
      <c r="Q35" s="61">
        <f t="shared" si="4"/>
        <v>11.71692893474485</v>
      </c>
      <c r="R35" s="66">
        <f t="shared" si="5"/>
        <v>53.979355762241774</v>
      </c>
      <c r="S35" s="67"/>
      <c r="T35" s="67"/>
      <c r="U35" s="26"/>
      <c r="V35" s="27"/>
      <c r="W35" s="27"/>
      <c r="X35" s="27"/>
      <c r="Y35" s="27"/>
      <c r="Z35" s="27"/>
      <c r="AA35" s="27"/>
      <c r="AB35" s="27"/>
      <c r="AC35" s="27"/>
      <c r="AD35" s="27"/>
      <c r="AE35" s="27"/>
      <c r="AF35" s="27"/>
      <c r="AG35" s="27"/>
      <c r="AH35" s="27"/>
      <c r="AI35" s="27"/>
      <c r="AJ35" s="27"/>
      <c r="AK35" s="28"/>
      <c r="AL35" s="4"/>
      <c r="AM35" s="4"/>
      <c r="AN35" s="4"/>
      <c r="AO35" s="4"/>
      <c r="AP35" s="4"/>
      <c r="AQ35" s="4"/>
      <c r="AR35" s="4"/>
      <c r="AS35" s="4"/>
      <c r="AT35" s="4"/>
      <c r="AU35" s="4"/>
      <c r="AV35" s="4"/>
      <c r="AW35" s="4"/>
      <c r="AX35" s="4"/>
      <c r="AY35" s="4"/>
      <c r="AZ35" s="4"/>
      <c r="BA35" s="4"/>
      <c r="BB35" s="4"/>
      <c r="BC35" s="4"/>
      <c r="BD35" s="4"/>
    </row>
    <row r="36" spans="1:56" x14ac:dyDescent="0.25">
      <c r="A36" s="59">
        <v>4</v>
      </c>
      <c r="B36" s="60">
        <v>28.5</v>
      </c>
      <c r="C36" s="60">
        <v>3.41</v>
      </c>
      <c r="D36" s="60">
        <v>506.6</v>
      </c>
      <c r="E36" s="61">
        <f t="shared" si="0"/>
        <v>98.467813779031076</v>
      </c>
      <c r="F36" s="62">
        <v>103.21</v>
      </c>
      <c r="G36" s="62">
        <v>1.7</v>
      </c>
      <c r="H36" s="68">
        <f t="shared" si="1"/>
        <v>101.50999999999999</v>
      </c>
      <c r="I36" s="64">
        <f t="shared" si="2"/>
        <v>29.38051419007007</v>
      </c>
      <c r="J36" s="60">
        <v>401.84</v>
      </c>
      <c r="K36" s="60">
        <v>359.01</v>
      </c>
      <c r="L36" s="60">
        <v>550.82000000000005</v>
      </c>
      <c r="M36" s="60">
        <v>771.74</v>
      </c>
      <c r="N36" s="61">
        <v>100</v>
      </c>
      <c r="O36" s="65">
        <f t="shared" si="3"/>
        <v>148.98000000000008</v>
      </c>
      <c r="P36" s="61">
        <f t="shared" si="3"/>
        <v>412.73</v>
      </c>
      <c r="Q36" s="61">
        <f t="shared" si="4"/>
        <v>10.710792478050612</v>
      </c>
      <c r="R36" s="66">
        <f t="shared" si="5"/>
        <v>59.049998093568533</v>
      </c>
      <c r="S36" s="67"/>
      <c r="T36" s="67"/>
      <c r="U36" s="26"/>
      <c r="V36" s="27"/>
      <c r="W36" s="27"/>
      <c r="X36" s="27"/>
      <c r="Y36" s="27"/>
      <c r="Z36" s="27"/>
      <c r="AA36" s="27"/>
      <c r="AB36" s="27"/>
      <c r="AC36" s="27"/>
      <c r="AD36" s="27"/>
      <c r="AE36" s="27"/>
      <c r="AF36" s="27"/>
      <c r="AG36" s="27"/>
      <c r="AH36" s="27"/>
      <c r="AI36" s="27"/>
      <c r="AJ36" s="27"/>
      <c r="AK36" s="28"/>
      <c r="AL36" s="4"/>
      <c r="AM36" s="4"/>
      <c r="AN36" s="4"/>
      <c r="AO36" s="4"/>
      <c r="AP36" s="4"/>
      <c r="AQ36" s="4"/>
      <c r="AR36" s="4"/>
      <c r="AS36" s="4"/>
      <c r="AT36" s="4"/>
      <c r="AU36" s="4"/>
      <c r="AV36" s="4"/>
      <c r="AW36" s="4"/>
      <c r="AX36" s="4"/>
      <c r="AY36" s="4"/>
      <c r="AZ36" s="4"/>
      <c r="BA36" s="4"/>
      <c r="BB36" s="4"/>
      <c r="BC36" s="4"/>
      <c r="BD36" s="4"/>
    </row>
    <row r="37" spans="1:56" x14ac:dyDescent="0.25">
      <c r="A37" s="59">
        <v>5</v>
      </c>
      <c r="B37" s="60">
        <v>31.5</v>
      </c>
      <c r="C37" s="60">
        <v>3.41</v>
      </c>
      <c r="D37" s="60">
        <v>502.02</v>
      </c>
      <c r="E37" s="61">
        <f t="shared" si="0"/>
        <v>107.84892569039549</v>
      </c>
      <c r="F37" s="62">
        <v>116.12</v>
      </c>
      <c r="G37" s="62">
        <v>4.0199999999999996</v>
      </c>
      <c r="H37" s="68">
        <f t="shared" si="1"/>
        <v>112.10000000000001</v>
      </c>
      <c r="I37" s="64">
        <f t="shared" si="2"/>
        <v>32.741633515543377</v>
      </c>
      <c r="J37" s="60">
        <v>509.78</v>
      </c>
      <c r="K37" s="60">
        <v>399.07</v>
      </c>
      <c r="L37" s="60">
        <v>675.12</v>
      </c>
      <c r="M37" s="60">
        <v>810</v>
      </c>
      <c r="N37" s="61">
        <v>100</v>
      </c>
      <c r="O37" s="65">
        <f t="shared" si="3"/>
        <v>165.34000000000003</v>
      </c>
      <c r="P37" s="61">
        <f t="shared" si="3"/>
        <v>410.93</v>
      </c>
      <c r="Q37" s="61">
        <f t="shared" si="4"/>
        <v>9.7156136212387096</v>
      </c>
      <c r="R37" s="66">
        <f t="shared" si="5"/>
        <v>65.098541385681273</v>
      </c>
      <c r="S37" s="67"/>
      <c r="T37" s="67"/>
      <c r="U37" s="26"/>
      <c r="V37" s="27"/>
      <c r="W37" s="27"/>
      <c r="X37" s="27"/>
      <c r="Y37" s="27"/>
      <c r="Z37" s="27"/>
      <c r="AA37" s="27"/>
      <c r="AB37" s="27"/>
      <c r="AC37" s="27"/>
      <c r="AD37" s="27"/>
      <c r="AE37" s="27"/>
      <c r="AF37" s="27"/>
      <c r="AG37" s="27"/>
      <c r="AH37" s="27"/>
      <c r="AI37" s="27"/>
      <c r="AJ37" s="27"/>
      <c r="AK37" s="28"/>
      <c r="AL37" s="4"/>
      <c r="AM37" s="4"/>
      <c r="AN37" s="4"/>
      <c r="AO37" s="4"/>
      <c r="AP37" s="4"/>
      <c r="AQ37" s="4"/>
      <c r="AR37" s="4"/>
      <c r="AS37" s="4"/>
      <c r="AT37" s="4"/>
      <c r="AU37" s="4"/>
      <c r="AV37" s="4"/>
      <c r="AW37" s="4"/>
      <c r="AX37" s="4"/>
      <c r="AY37" s="4"/>
      <c r="AZ37" s="4"/>
      <c r="BA37" s="4"/>
      <c r="BB37" s="4"/>
      <c r="BC37" s="4"/>
      <c r="BD37" s="4"/>
    </row>
    <row r="38" spans="1:56" x14ac:dyDescent="0.25">
      <c r="A38" s="70"/>
      <c r="B38" s="71">
        <v>35</v>
      </c>
      <c r="C38" s="71">
        <v>3.41</v>
      </c>
      <c r="D38" s="71">
        <v>500.45</v>
      </c>
      <c r="E38" s="72">
        <f t="shared" si="0"/>
        <v>119.45738076340125</v>
      </c>
      <c r="F38" s="73">
        <v>120.24</v>
      </c>
      <c r="G38" s="73">
        <v>1.1200000000000001</v>
      </c>
      <c r="H38" s="68">
        <f t="shared" si="1"/>
        <v>119.11999999999999</v>
      </c>
      <c r="I38" s="64">
        <f t="shared" si="2"/>
        <v>34.901150296083991</v>
      </c>
      <c r="J38" s="60">
        <v>401.84</v>
      </c>
      <c r="K38" s="60">
        <v>359.01</v>
      </c>
      <c r="L38" s="71">
        <v>558.54</v>
      </c>
      <c r="M38" s="71">
        <v>808.95</v>
      </c>
      <c r="N38" s="61">
        <v>101</v>
      </c>
      <c r="O38" s="65">
        <f t="shared" si="3"/>
        <v>156.69999999999999</v>
      </c>
      <c r="P38" s="61">
        <f t="shared" si="3"/>
        <v>449.94000000000005</v>
      </c>
      <c r="Q38" s="61">
        <f t="shared" si="4"/>
        <v>10.663179949442881</v>
      </c>
      <c r="R38" s="66">
        <f t="shared" si="5"/>
        <v>59.313664254774359</v>
      </c>
      <c r="S38" s="67"/>
      <c r="T38" s="67"/>
      <c r="U38" s="26"/>
      <c r="V38" s="27"/>
      <c r="W38" s="27"/>
      <c r="X38" s="27"/>
      <c r="Y38" s="27"/>
      <c r="Z38" s="27"/>
      <c r="AA38" s="27"/>
      <c r="AB38" s="27"/>
      <c r="AC38" s="27"/>
      <c r="AD38" s="27"/>
      <c r="AE38" s="27"/>
      <c r="AF38" s="27"/>
      <c r="AG38" s="27"/>
      <c r="AH38" s="27"/>
      <c r="AI38" s="27"/>
      <c r="AJ38" s="27"/>
      <c r="AK38" s="28"/>
      <c r="AL38" s="4"/>
      <c r="AM38" s="4"/>
      <c r="AN38" s="4"/>
      <c r="AO38" s="4"/>
      <c r="AP38" s="4"/>
      <c r="AQ38" s="4"/>
      <c r="AR38" s="4"/>
      <c r="AS38" s="4"/>
      <c r="AT38" s="4"/>
      <c r="AU38" s="4"/>
      <c r="AV38" s="4"/>
      <c r="AW38" s="4"/>
      <c r="AX38" s="4"/>
      <c r="AY38" s="4"/>
      <c r="AZ38" s="4"/>
      <c r="BA38" s="4"/>
      <c r="BB38" s="4"/>
      <c r="BC38" s="4"/>
      <c r="BD38" s="4"/>
    </row>
    <row r="39" spans="1:56" x14ac:dyDescent="0.25">
      <c r="A39" s="70"/>
      <c r="B39" s="71"/>
      <c r="C39" s="71"/>
      <c r="D39" s="71"/>
      <c r="E39" s="72"/>
      <c r="F39" s="73"/>
      <c r="G39" s="73"/>
      <c r="H39" s="505"/>
      <c r="I39" s="506"/>
      <c r="J39" s="71"/>
      <c r="K39" s="71"/>
      <c r="L39" s="71"/>
      <c r="M39" s="71"/>
      <c r="N39" s="72"/>
      <c r="O39" s="507"/>
      <c r="P39" s="72"/>
      <c r="Q39" s="72"/>
      <c r="R39" s="72"/>
      <c r="S39" s="67"/>
      <c r="T39" s="67"/>
      <c r="U39" s="26"/>
      <c r="V39" s="27"/>
      <c r="W39" s="27"/>
      <c r="X39" s="27"/>
      <c r="Y39" s="27"/>
      <c r="Z39" s="27"/>
      <c r="AA39" s="27"/>
      <c r="AB39" s="27"/>
      <c r="AC39" s="27"/>
      <c r="AD39" s="27"/>
      <c r="AE39" s="27"/>
      <c r="AF39" s="27"/>
      <c r="AG39" s="27"/>
      <c r="AH39" s="27"/>
      <c r="AI39" s="27"/>
      <c r="AJ39" s="27"/>
      <c r="AK39" s="28"/>
      <c r="AL39" s="4"/>
      <c r="AM39" s="4"/>
      <c r="AN39" s="4"/>
      <c r="AO39" s="4"/>
      <c r="AP39" s="4"/>
      <c r="AQ39" s="4"/>
      <c r="AR39" s="4"/>
      <c r="AS39" s="4"/>
      <c r="AT39" s="4"/>
      <c r="AU39" s="4"/>
      <c r="AV39" s="4"/>
      <c r="AW39" s="4"/>
      <c r="AX39" s="4"/>
      <c r="AY39" s="4"/>
      <c r="AZ39" s="4"/>
      <c r="BA39" s="4"/>
      <c r="BB39" s="4"/>
      <c r="BC39" s="4"/>
      <c r="BD39" s="4"/>
    </row>
    <row r="40" spans="1:56" ht="18" customHeight="1" x14ac:dyDescent="0.3">
      <c r="A40" s="580" t="s">
        <v>74</v>
      </c>
      <c r="B40" s="580"/>
      <c r="C40" s="580"/>
      <c r="D40" s="580"/>
      <c r="E40" s="580"/>
      <c r="F40" s="580"/>
      <c r="G40" s="580"/>
      <c r="H40" s="580"/>
      <c r="I40" s="580"/>
      <c r="J40" s="580"/>
      <c r="K40" s="580"/>
      <c r="L40" s="580"/>
      <c r="M40" s="580"/>
      <c r="N40" s="4"/>
      <c r="O40" s="4"/>
      <c r="P40" s="4"/>
      <c r="Q40" s="4"/>
      <c r="R40" s="4">
        <v>0</v>
      </c>
      <c r="S40" s="4"/>
      <c r="T40" s="4"/>
      <c r="U40" s="26"/>
      <c r="V40" s="27"/>
      <c r="W40" s="27"/>
      <c r="X40" s="27"/>
      <c r="Y40" s="27"/>
      <c r="Z40" s="27"/>
      <c r="AA40" s="27"/>
      <c r="AB40" s="27"/>
      <c r="AC40" s="27"/>
      <c r="AD40" s="27"/>
      <c r="AE40" s="27"/>
      <c r="AF40" s="27"/>
      <c r="AG40" s="27"/>
      <c r="AH40" s="27"/>
      <c r="AI40" s="27"/>
      <c r="AJ40" s="27"/>
      <c r="AK40" s="28"/>
      <c r="AL40" s="4"/>
      <c r="AM40" s="4"/>
      <c r="AN40" s="4"/>
      <c r="AO40" s="4"/>
      <c r="AP40" s="4"/>
      <c r="AQ40" s="4"/>
      <c r="AR40" s="4"/>
      <c r="AS40" s="4"/>
      <c r="AT40" s="4"/>
      <c r="AU40" s="4"/>
      <c r="AV40" s="4"/>
      <c r="AW40" s="4"/>
      <c r="AX40" s="4"/>
      <c r="AY40" s="4"/>
      <c r="AZ40" s="4"/>
      <c r="BA40" s="4"/>
      <c r="BB40" s="4"/>
      <c r="BC40" s="4"/>
      <c r="BD40" s="4"/>
    </row>
    <row r="41" spans="1:56" ht="15.75" customHeight="1" x14ac:dyDescent="0.25">
      <c r="A41" s="56" t="s">
        <v>56</v>
      </c>
      <c r="B41" s="56" t="s">
        <v>75</v>
      </c>
      <c r="C41" s="57" t="s">
        <v>76</v>
      </c>
      <c r="D41" s="581" t="s">
        <v>77</v>
      </c>
      <c r="E41" s="581"/>
      <c r="F41" s="581"/>
      <c r="G41" s="581"/>
      <c r="H41" s="581"/>
      <c r="I41" s="582" t="s">
        <v>78</v>
      </c>
      <c r="J41" s="582"/>
      <c r="K41" s="582"/>
      <c r="L41" s="582"/>
      <c r="M41" s="582"/>
      <c r="N41" s="4"/>
      <c r="O41" s="4"/>
      <c r="P41" s="4"/>
      <c r="Q41" s="4"/>
      <c r="R41" s="4"/>
      <c r="S41" s="4"/>
      <c r="T41" s="4"/>
      <c r="U41" s="26"/>
      <c r="V41" s="27"/>
      <c r="W41" s="27"/>
      <c r="X41" s="27"/>
      <c r="Y41" s="27"/>
      <c r="Z41" s="27"/>
      <c r="AA41" s="27"/>
      <c r="AB41" s="27"/>
      <c r="AC41" s="27"/>
      <c r="AD41" s="27"/>
      <c r="AE41" s="27"/>
      <c r="AF41" s="27"/>
      <c r="AG41" s="27"/>
      <c r="AH41" s="27"/>
      <c r="AI41" s="27"/>
      <c r="AJ41" s="27"/>
      <c r="AK41" s="28"/>
      <c r="AL41" s="4"/>
      <c r="AM41" s="4"/>
      <c r="AN41" s="4"/>
      <c r="AO41" s="4"/>
      <c r="AP41" s="4"/>
      <c r="AQ41" s="4"/>
      <c r="AR41" s="4"/>
      <c r="AS41" s="4"/>
      <c r="AT41" s="4"/>
      <c r="AU41" s="4"/>
      <c r="AV41" s="4"/>
      <c r="AW41" s="4"/>
      <c r="AX41" s="4"/>
      <c r="AY41" s="4"/>
      <c r="AZ41" s="4"/>
      <c r="BA41" s="4"/>
      <c r="BB41" s="4"/>
      <c r="BC41" s="4"/>
      <c r="BD41" s="4"/>
    </row>
    <row r="42" spans="1:56" x14ac:dyDescent="0.25">
      <c r="A42" s="74">
        <v>1</v>
      </c>
      <c r="B42" s="75">
        <f>AVERAGE(D42:H42)</f>
        <v>73.233333333333334</v>
      </c>
      <c r="C42" s="76">
        <f>AVERAGE(I42:K42)</f>
        <v>39.533333333333339</v>
      </c>
      <c r="D42" s="77">
        <v>73.599999999999994</v>
      </c>
      <c r="E42" s="78">
        <v>70.2</v>
      </c>
      <c r="F42" s="78">
        <v>75.900000000000006</v>
      </c>
      <c r="G42" s="78"/>
      <c r="H42" s="79"/>
      <c r="I42" s="80">
        <v>39.9</v>
      </c>
      <c r="J42" s="81">
        <v>39</v>
      </c>
      <c r="K42" s="81">
        <v>39.700000000000003</v>
      </c>
      <c r="L42" s="81"/>
      <c r="M42" s="82"/>
      <c r="N42" s="4"/>
      <c r="O42" s="4"/>
      <c r="P42" s="4"/>
      <c r="Q42" s="4"/>
      <c r="R42" s="4"/>
      <c r="S42" s="4"/>
      <c r="T42" s="4"/>
      <c r="U42" s="26"/>
      <c r="V42" s="27"/>
      <c r="W42" s="27"/>
      <c r="X42" s="27"/>
      <c r="Y42" s="27"/>
      <c r="Z42" s="27"/>
      <c r="AA42" s="27"/>
      <c r="AB42" s="27"/>
      <c r="AC42" s="27"/>
      <c r="AD42" s="27"/>
      <c r="AE42" s="27"/>
      <c r="AF42" s="27"/>
      <c r="AG42" s="27"/>
      <c r="AH42" s="27"/>
      <c r="AI42" s="27"/>
      <c r="AJ42" s="27"/>
      <c r="AK42" s="28"/>
      <c r="AL42" s="4"/>
      <c r="AM42" s="4"/>
      <c r="AN42" s="4"/>
      <c r="AO42" s="4"/>
      <c r="AP42" s="4"/>
      <c r="AQ42" s="4"/>
      <c r="AR42" s="4"/>
      <c r="AS42" s="4"/>
      <c r="AT42" s="4"/>
      <c r="AU42" s="4"/>
      <c r="AV42" s="4"/>
      <c r="AW42" s="4"/>
      <c r="AX42" s="4"/>
      <c r="AY42" s="4"/>
      <c r="AZ42" s="4"/>
      <c r="BA42" s="4"/>
      <c r="BB42" s="4"/>
      <c r="BC42" s="4"/>
      <c r="BD42" s="4"/>
    </row>
    <row r="43" spans="1:56" x14ac:dyDescent="0.25">
      <c r="A43" s="74">
        <v>2</v>
      </c>
      <c r="B43" s="75">
        <f>AVERAGE(D43:F43)</f>
        <v>48</v>
      </c>
      <c r="C43" s="76">
        <f>AVERAGE(J43:K43)</f>
        <v>37.400000000000006</v>
      </c>
      <c r="D43" s="80">
        <v>48.1</v>
      </c>
      <c r="E43" s="81">
        <v>48.7</v>
      </c>
      <c r="F43" s="81">
        <v>47.2</v>
      </c>
      <c r="G43" s="81">
        <v>36.6</v>
      </c>
      <c r="H43" s="82"/>
      <c r="I43" s="80">
        <v>42.2</v>
      </c>
      <c r="J43" s="81">
        <v>38.200000000000003</v>
      </c>
      <c r="K43" s="81">
        <v>36.6</v>
      </c>
      <c r="L43" s="81"/>
      <c r="M43" s="82"/>
      <c r="N43" s="4"/>
      <c r="O43" s="4"/>
      <c r="P43" s="4"/>
      <c r="Q43" s="4"/>
      <c r="R43" s="4"/>
      <c r="S43" s="4"/>
      <c r="T43" s="4"/>
      <c r="U43" s="26"/>
      <c r="V43" s="27"/>
      <c r="W43" s="27"/>
      <c r="X43" s="27"/>
      <c r="Y43" s="27"/>
      <c r="Z43" s="27"/>
      <c r="AA43" s="27"/>
      <c r="AB43" s="27"/>
      <c r="AC43" s="83"/>
      <c r="AD43" s="83"/>
      <c r="AE43" s="83"/>
      <c r="AF43" s="83"/>
      <c r="AG43" s="83"/>
      <c r="AH43" s="83"/>
      <c r="AI43" s="83"/>
      <c r="AJ43" s="83"/>
      <c r="AK43" s="84"/>
      <c r="AL43" s="4"/>
      <c r="AM43" s="4"/>
      <c r="AN43" s="4"/>
      <c r="AO43" s="4"/>
      <c r="AP43" s="4"/>
      <c r="AQ43" s="4"/>
      <c r="AR43" s="4"/>
      <c r="AS43" s="4"/>
      <c r="AT43" s="4"/>
      <c r="AU43" s="4"/>
      <c r="AV43" s="4"/>
      <c r="AW43" s="4"/>
      <c r="AX43" s="4"/>
      <c r="AY43" s="4"/>
      <c r="AZ43" s="4"/>
      <c r="BA43" s="4"/>
      <c r="BB43" s="4"/>
      <c r="BC43" s="4"/>
      <c r="BD43" s="4"/>
    </row>
    <row r="44" spans="1:56" ht="34.5" customHeight="1" x14ac:dyDescent="0.25">
      <c r="A44" s="74">
        <v>3</v>
      </c>
      <c r="B44" s="75">
        <f>AVERAGE(D44:F44)</f>
        <v>46.833333333333336</v>
      </c>
      <c r="C44" s="76">
        <f>AVERAGE(J44:K44)</f>
        <v>31.049999999999997</v>
      </c>
      <c r="D44" s="80">
        <v>50.2</v>
      </c>
      <c r="E44" s="81">
        <v>44.7</v>
      </c>
      <c r="F44" s="81">
        <v>45.6</v>
      </c>
      <c r="G44" s="81">
        <v>37.4</v>
      </c>
      <c r="H44" s="82"/>
      <c r="I44" s="80">
        <v>31.3</v>
      </c>
      <c r="J44" s="81">
        <v>31.4</v>
      </c>
      <c r="K44" s="81">
        <v>30.7</v>
      </c>
      <c r="L44" s="81"/>
      <c r="M44" s="82"/>
      <c r="N44" s="4"/>
      <c r="O44" s="4"/>
      <c r="P44" s="4"/>
      <c r="Q44" s="4"/>
      <c r="R44" s="4"/>
      <c r="S44" s="4"/>
      <c r="T44" s="4"/>
      <c r="U44" s="583" t="s">
        <v>79</v>
      </c>
      <c r="V44" s="583"/>
      <c r="W44" s="583"/>
      <c r="X44" s="583"/>
      <c r="Y44" s="583"/>
      <c r="Z44" s="583"/>
      <c r="AA44" s="583"/>
      <c r="AB44" s="583"/>
      <c r="AC44" s="584" t="s">
        <v>80</v>
      </c>
      <c r="AD44" s="584"/>
      <c r="AE44" s="584"/>
      <c r="AF44" s="584"/>
      <c r="AG44" s="584"/>
      <c r="AH44" s="584"/>
      <c r="AI44" s="584"/>
      <c r="AJ44" s="584"/>
      <c r="AK44" s="584"/>
      <c r="AL44" s="4"/>
      <c r="AM44" s="4"/>
      <c r="AN44" s="4"/>
      <c r="AO44" s="4"/>
      <c r="AP44" s="4"/>
      <c r="AQ44" s="4"/>
      <c r="AR44" s="4"/>
      <c r="AS44" s="4"/>
      <c r="AT44" s="4"/>
      <c r="AU44" s="4"/>
      <c r="AV44" s="4"/>
      <c r="AW44" s="4"/>
      <c r="AX44" s="4"/>
      <c r="AY44" s="4"/>
      <c r="AZ44" s="4"/>
      <c r="BA44" s="4"/>
      <c r="BB44" s="4"/>
      <c r="BC44" s="4"/>
      <c r="BD44" s="4"/>
    </row>
    <row r="45" spans="1:56" ht="15.75" customHeight="1" x14ac:dyDescent="0.25">
      <c r="A45" s="74">
        <v>4</v>
      </c>
      <c r="B45" s="75">
        <f>AVERAGE(D45:F45)</f>
        <v>37.733333333333334</v>
      </c>
      <c r="C45" s="76">
        <f>AVERAGE(I45:K45)</f>
        <v>28.400000000000002</v>
      </c>
      <c r="D45" s="80">
        <v>38.4</v>
      </c>
      <c r="E45" s="81">
        <v>38.6</v>
      </c>
      <c r="F45" s="81">
        <v>36.200000000000003</v>
      </c>
      <c r="G45" s="81">
        <v>32.4</v>
      </c>
      <c r="H45" s="82"/>
      <c r="I45" s="80">
        <v>27.1</v>
      </c>
      <c r="J45" s="81">
        <v>28.8</v>
      </c>
      <c r="K45" s="81">
        <v>29.3</v>
      </c>
      <c r="L45" s="81"/>
      <c r="M45" s="82"/>
      <c r="N45" s="4"/>
      <c r="O45" s="4"/>
      <c r="P45" s="4"/>
      <c r="Q45" s="4"/>
      <c r="R45" s="4"/>
      <c r="S45" s="4"/>
      <c r="T45" s="4"/>
      <c r="U45" s="583"/>
      <c r="V45" s="583"/>
      <c r="W45" s="583"/>
      <c r="X45" s="583"/>
      <c r="Y45" s="583"/>
      <c r="Z45" s="583"/>
      <c r="AA45" s="583"/>
      <c r="AB45" s="583"/>
      <c r="AC45" s="584"/>
      <c r="AD45" s="584"/>
      <c r="AE45" s="584"/>
      <c r="AF45" s="584"/>
      <c r="AG45" s="584"/>
      <c r="AH45" s="584"/>
      <c r="AI45" s="584"/>
      <c r="AJ45" s="584"/>
      <c r="AK45" s="584"/>
      <c r="AL45" s="4"/>
      <c r="AM45" s="4"/>
      <c r="AN45" s="4"/>
      <c r="AO45" s="4"/>
      <c r="AP45" s="4"/>
      <c r="AQ45" s="4"/>
      <c r="AR45" s="4"/>
      <c r="AS45" s="4"/>
      <c r="AT45" s="4"/>
      <c r="AU45" s="4"/>
      <c r="AV45" s="4"/>
      <c r="AW45" s="4"/>
      <c r="AX45" s="4"/>
      <c r="AY45" s="4"/>
      <c r="AZ45" s="4"/>
      <c r="BA45" s="4"/>
      <c r="BB45" s="4"/>
      <c r="BC45" s="4"/>
      <c r="BD45" s="4"/>
    </row>
    <row r="46" spans="1:56" ht="15.75" customHeight="1" x14ac:dyDescent="0.25">
      <c r="A46" s="74">
        <v>5</v>
      </c>
      <c r="B46" s="75">
        <f>AVERAGE(D46:F46)</f>
        <v>28.233333333333334</v>
      </c>
      <c r="C46" s="76">
        <f>AVERAGE(I46:M46)</f>
        <v>15.800000000000002</v>
      </c>
      <c r="D46" s="80">
        <v>28.3</v>
      </c>
      <c r="E46" s="81">
        <v>27.3</v>
      </c>
      <c r="F46" s="81">
        <v>29.1</v>
      </c>
      <c r="G46" s="81">
        <v>19.8</v>
      </c>
      <c r="H46" s="82"/>
      <c r="I46" s="80">
        <v>22.1</v>
      </c>
      <c r="J46" s="81">
        <v>12.8</v>
      </c>
      <c r="K46" s="81">
        <v>12.5</v>
      </c>
      <c r="L46" s="81"/>
      <c r="M46" s="82"/>
      <c r="N46" s="4"/>
      <c r="O46" s="4"/>
      <c r="P46" s="4"/>
      <c r="Q46" s="4"/>
      <c r="R46" s="4"/>
      <c r="S46" s="4"/>
      <c r="T46" s="4"/>
      <c r="U46" s="26"/>
      <c r="V46" s="27"/>
      <c r="W46" s="27"/>
      <c r="X46" s="27"/>
      <c r="Y46" s="27"/>
      <c r="Z46" s="27"/>
      <c r="AA46" s="27"/>
      <c r="AB46" s="85"/>
      <c r="AC46" s="27"/>
      <c r="AD46" s="27"/>
      <c r="AE46" s="27"/>
      <c r="AF46" s="27"/>
      <c r="AG46" s="27"/>
      <c r="AH46" s="27"/>
      <c r="AI46" s="27"/>
      <c r="AJ46" s="27"/>
      <c r="AK46" s="86"/>
      <c r="AL46" s="4"/>
      <c r="AM46" s="4"/>
      <c r="AN46" s="4"/>
      <c r="AO46" s="4"/>
      <c r="AP46" s="4"/>
      <c r="AQ46" s="4"/>
      <c r="AR46" s="4"/>
      <c r="AS46" s="4"/>
      <c r="AT46" s="4"/>
      <c r="AU46" s="4"/>
      <c r="AV46" s="4"/>
      <c r="AW46" s="4"/>
      <c r="AX46" s="4"/>
      <c r="AY46" s="4"/>
      <c r="AZ46" s="4"/>
      <c r="BA46" s="4"/>
      <c r="BB46" s="4"/>
      <c r="BC46" s="4"/>
      <c r="BD46" s="4"/>
    </row>
    <row r="47" spans="1:56" ht="15.75" customHeight="1" x14ac:dyDescent="0.25">
      <c r="A47" s="74">
        <v>6</v>
      </c>
      <c r="B47" s="75">
        <f>AVERAGE(D47:F47)</f>
        <v>28.599999999999998</v>
      </c>
      <c r="C47" s="76">
        <f>AVERAGE(I47:M47)</f>
        <v>12</v>
      </c>
      <c r="D47" s="80">
        <v>27.3</v>
      </c>
      <c r="E47" s="81">
        <v>29.7</v>
      </c>
      <c r="F47" s="81">
        <v>28.8</v>
      </c>
      <c r="G47" s="81">
        <v>19.600000000000001</v>
      </c>
      <c r="H47" s="82"/>
      <c r="I47" s="80">
        <v>11.8</v>
      </c>
      <c r="J47" s="81">
        <v>11.7</v>
      </c>
      <c r="K47" s="81">
        <v>12.5</v>
      </c>
      <c r="L47" s="81"/>
      <c r="M47" s="82"/>
      <c r="N47" s="4"/>
      <c r="O47" s="4"/>
      <c r="P47" s="4"/>
      <c r="Q47" s="4"/>
      <c r="R47" s="4"/>
      <c r="S47" s="4"/>
      <c r="T47" s="4"/>
      <c r="U47" s="26"/>
      <c r="V47" s="27"/>
      <c r="W47" s="27"/>
      <c r="X47" s="27"/>
      <c r="Y47" s="27"/>
      <c r="Z47" s="27"/>
      <c r="AA47" s="27"/>
      <c r="AB47" s="85"/>
      <c r="AC47" s="27"/>
      <c r="AD47" s="27"/>
      <c r="AE47" s="27"/>
      <c r="AF47" s="27"/>
      <c r="AG47" s="27"/>
      <c r="AH47" s="27"/>
      <c r="AI47" s="27"/>
      <c r="AJ47" s="27"/>
      <c r="AK47" s="86"/>
      <c r="AL47" s="4"/>
      <c r="AM47" s="4"/>
      <c r="AN47" s="4"/>
      <c r="AO47" s="4"/>
      <c r="AP47" s="4"/>
      <c r="AQ47" s="4"/>
      <c r="AR47" s="4"/>
      <c r="AS47" s="4"/>
      <c r="AT47" s="4"/>
      <c r="AU47" s="4"/>
      <c r="AV47" s="4"/>
      <c r="AW47" s="4"/>
      <c r="AX47" s="4"/>
      <c r="AY47" s="4"/>
      <c r="AZ47" s="4"/>
      <c r="BA47" s="4"/>
      <c r="BB47" s="4"/>
      <c r="BC47" s="4"/>
      <c r="BD47" s="4"/>
    </row>
    <row r="48" spans="1:56" ht="15.75" customHeight="1" x14ac:dyDescent="0.25">
      <c r="A48" s="589"/>
      <c r="B48" s="590"/>
      <c r="C48" s="590"/>
      <c r="D48" s="591"/>
      <c r="E48" s="591"/>
      <c r="F48" s="591"/>
      <c r="G48" s="591"/>
      <c r="H48" s="591"/>
      <c r="I48" s="591"/>
      <c r="J48" s="591"/>
      <c r="K48" s="591"/>
      <c r="L48" s="591"/>
      <c r="M48" s="591"/>
      <c r="N48" s="4"/>
      <c r="O48" s="4"/>
      <c r="P48" s="4"/>
      <c r="Q48" s="4"/>
      <c r="R48" s="4"/>
      <c r="S48" s="4"/>
      <c r="T48" s="4"/>
      <c r="U48" s="26"/>
      <c r="V48" s="27"/>
      <c r="W48" s="27"/>
      <c r="X48" s="27"/>
      <c r="Y48" s="27"/>
      <c r="Z48" s="27"/>
      <c r="AA48" s="27"/>
      <c r="AB48" s="85"/>
      <c r="AC48" s="27"/>
      <c r="AD48" s="27"/>
      <c r="AE48" s="27"/>
      <c r="AF48" s="27"/>
      <c r="AG48" s="27"/>
      <c r="AH48" s="27"/>
      <c r="AI48" s="27"/>
      <c r="AJ48" s="27"/>
      <c r="AK48" s="86"/>
      <c r="AL48" s="4"/>
      <c r="AM48" s="4"/>
      <c r="AN48" s="4"/>
      <c r="AO48" s="4"/>
      <c r="AP48" s="4"/>
      <c r="AQ48" s="4"/>
      <c r="AR48" s="4"/>
      <c r="AS48" s="4"/>
      <c r="AT48" s="4"/>
      <c r="AU48" s="4"/>
      <c r="AV48" s="4"/>
      <c r="AW48" s="4"/>
      <c r="AX48" s="4"/>
      <c r="AY48" s="4"/>
      <c r="AZ48" s="4"/>
      <c r="BA48" s="4"/>
      <c r="BB48" s="4"/>
      <c r="BC48" s="4"/>
      <c r="BD48" s="4"/>
    </row>
    <row r="49" spans="1:57" x14ac:dyDescent="0.25">
      <c r="A49" s="4"/>
      <c r="B49" s="4"/>
      <c r="C49" s="4"/>
      <c r="D49" s="4"/>
      <c r="E49" s="4"/>
      <c r="F49" s="4"/>
      <c r="G49" s="4"/>
      <c r="H49" s="4"/>
      <c r="I49" s="4"/>
      <c r="J49" s="4"/>
      <c r="K49" s="4"/>
      <c r="L49" s="4"/>
      <c r="M49" s="4"/>
      <c r="N49" s="4"/>
      <c r="O49" s="4"/>
      <c r="P49" s="4"/>
      <c r="Q49" s="4"/>
      <c r="R49" s="4"/>
      <c r="S49" s="4"/>
      <c r="T49" s="4"/>
      <c r="U49" s="26"/>
      <c r="V49" s="27"/>
      <c r="W49" s="27"/>
      <c r="X49" s="588" t="s">
        <v>81</v>
      </c>
      <c r="Y49" s="588"/>
      <c r="Z49" s="588"/>
      <c r="AA49" s="27"/>
      <c r="AB49" s="85"/>
      <c r="AC49" s="27"/>
      <c r="AD49" s="27"/>
      <c r="AE49" s="27"/>
      <c r="AF49" s="27"/>
      <c r="AG49" s="27"/>
      <c r="AH49" s="27"/>
      <c r="AI49" s="27"/>
      <c r="AJ49" s="27"/>
      <c r="AK49" s="86"/>
      <c r="AL49" s="4"/>
      <c r="AM49" s="4"/>
      <c r="AN49" s="4"/>
      <c r="AO49" s="4"/>
      <c r="AP49" s="4"/>
      <c r="AQ49" s="4"/>
      <c r="AR49" s="4"/>
      <c r="AS49" s="4"/>
      <c r="AT49" s="4"/>
      <c r="AU49" s="4"/>
      <c r="AV49" s="4"/>
      <c r="AW49" s="4"/>
      <c r="AX49" s="4"/>
      <c r="AY49" s="4"/>
      <c r="AZ49" s="4"/>
      <c r="BA49" s="4"/>
      <c r="BB49" s="4"/>
      <c r="BC49" s="4"/>
      <c r="BD49" s="4"/>
    </row>
    <row r="50" spans="1:57" ht="21" customHeight="1" x14ac:dyDescent="0.25">
      <c r="A50" s="585" t="s">
        <v>82</v>
      </c>
      <c r="B50" s="585"/>
      <c r="C50" s="585"/>
      <c r="D50" s="585"/>
      <c r="E50" s="585"/>
      <c r="F50" s="585"/>
      <c r="G50" s="585"/>
      <c r="H50" s="585"/>
      <c r="I50" s="585"/>
      <c r="J50" s="585"/>
      <c r="K50" s="585"/>
      <c r="L50" s="585"/>
      <c r="M50" s="585"/>
      <c r="N50" s="585"/>
      <c r="O50" s="585"/>
      <c r="P50" s="585"/>
      <c r="Q50" s="4"/>
      <c r="R50" s="4"/>
      <c r="S50" s="4"/>
      <c r="T50" s="4"/>
      <c r="U50" s="26"/>
      <c r="V50" s="27"/>
      <c r="W50" s="27"/>
      <c r="X50" s="1"/>
      <c r="Y50" s="1" t="s">
        <v>18</v>
      </c>
      <c r="Z50" s="1" t="s">
        <v>83</v>
      </c>
      <c r="AA50" s="27"/>
      <c r="AB50" s="85"/>
      <c r="AC50" s="27"/>
      <c r="AD50" s="27"/>
      <c r="AE50" s="27"/>
      <c r="AF50" s="27"/>
      <c r="AG50" s="27"/>
      <c r="AH50" s="27"/>
      <c r="AI50" s="27"/>
      <c r="AJ50" s="27"/>
      <c r="AK50" s="86"/>
      <c r="AL50" s="4"/>
      <c r="AM50" s="4"/>
      <c r="AN50" s="4"/>
      <c r="AO50" s="4"/>
      <c r="AP50" s="4"/>
      <c r="AQ50" s="4"/>
      <c r="AR50" s="4"/>
      <c r="AS50" s="4"/>
      <c r="AT50" s="4"/>
      <c r="AU50" s="4"/>
      <c r="AV50" s="4"/>
      <c r="AW50" s="4"/>
      <c r="AX50" s="4"/>
      <c r="AY50" s="4"/>
      <c r="AZ50" s="4"/>
      <c r="BA50" s="4"/>
      <c r="BB50" s="4"/>
      <c r="BC50" s="4"/>
      <c r="BD50" s="4"/>
    </row>
    <row r="51" spans="1:57" ht="21.75" customHeight="1" x14ac:dyDescent="0.25">
      <c r="A51" s="55" t="s">
        <v>84</v>
      </c>
      <c r="B51" s="56" t="s">
        <v>85</v>
      </c>
      <c r="C51" s="56" t="s">
        <v>86</v>
      </c>
      <c r="D51" s="56" t="s">
        <v>87</v>
      </c>
      <c r="E51" s="56" t="s">
        <v>88</v>
      </c>
      <c r="F51" s="56" t="s">
        <v>89</v>
      </c>
      <c r="G51" s="56" t="s">
        <v>90</v>
      </c>
      <c r="H51" s="56" t="s">
        <v>91</v>
      </c>
      <c r="I51" s="56" t="s">
        <v>92</v>
      </c>
      <c r="J51" s="56" t="s">
        <v>93</v>
      </c>
      <c r="K51" s="56" t="s">
        <v>94</v>
      </c>
      <c r="L51" s="56" t="s">
        <v>95</v>
      </c>
      <c r="M51" s="56" t="s">
        <v>96</v>
      </c>
      <c r="N51" s="56" t="s">
        <v>97</v>
      </c>
      <c r="O51" s="56" t="s">
        <v>98</v>
      </c>
      <c r="P51" s="87" t="s">
        <v>99</v>
      </c>
      <c r="Q51" s="4"/>
      <c r="R51" s="4"/>
      <c r="S51" s="4"/>
      <c r="T51" s="4"/>
      <c r="U51" s="26"/>
      <c r="V51" s="27"/>
      <c r="W51" s="27"/>
      <c r="X51" s="88" t="s">
        <v>100</v>
      </c>
      <c r="Y51" s="88" t="s">
        <v>101</v>
      </c>
      <c r="Z51" s="88" t="s">
        <v>34</v>
      </c>
      <c r="AA51" s="27"/>
      <c r="AB51" s="85"/>
      <c r="AC51" s="27"/>
      <c r="AD51" s="27"/>
      <c r="AE51" s="27"/>
      <c r="AF51" s="27"/>
      <c r="AG51" s="27"/>
      <c r="AH51" s="27"/>
      <c r="AI51" s="27"/>
      <c r="AJ51" s="27"/>
      <c r="AK51" s="86"/>
      <c r="AL51" s="4"/>
      <c r="AM51" s="4"/>
      <c r="AN51" s="4"/>
      <c r="AO51" s="4"/>
      <c r="AP51" s="4"/>
      <c r="AQ51" s="4"/>
      <c r="AR51" s="4"/>
      <c r="AS51" s="4"/>
      <c r="AT51" s="4"/>
      <c r="AU51" s="4"/>
      <c r="AV51" s="4"/>
      <c r="AW51" s="4"/>
      <c r="AX51" s="4"/>
      <c r="AY51" s="4"/>
      <c r="AZ51" s="4"/>
      <c r="BA51" s="4"/>
      <c r="BB51" s="4"/>
      <c r="BC51" s="4"/>
      <c r="BD51" s="4"/>
    </row>
    <row r="52" spans="1:57" ht="21" customHeight="1" x14ac:dyDescent="0.25">
      <c r="A52" s="89">
        <v>1</v>
      </c>
      <c r="B52" s="90">
        <v>1.1037999999999999</v>
      </c>
      <c r="C52" s="90">
        <v>1.1115999999999999</v>
      </c>
      <c r="D52" s="47">
        <v>10</v>
      </c>
      <c r="E52" s="47">
        <v>10</v>
      </c>
      <c r="F52" s="91">
        <v>1.1136999999999999</v>
      </c>
      <c r="G52" s="91">
        <v>1.1225000000000001</v>
      </c>
      <c r="H52" s="47">
        <v>1</v>
      </c>
      <c r="I52" s="92">
        <f t="shared" ref="I52:I58" si="6">(F52-B52)*1000*H52/D52</f>
        <v>0.99000000000000199</v>
      </c>
      <c r="J52" s="92">
        <f t="shared" ref="J52:J58" si="7">(G52-C52)*1000*H52/E52</f>
        <v>1.0900000000000132</v>
      </c>
      <c r="K52" s="93">
        <f t="shared" ref="K52:K58" si="8">AVERAGE(I52:J52)</f>
        <v>1.0400000000000076</v>
      </c>
      <c r="L52" s="81">
        <v>1.1085</v>
      </c>
      <c r="M52" s="81">
        <v>1.1137999999999999</v>
      </c>
      <c r="N52" s="94">
        <f t="shared" ref="N52:N58" si="9">(F52-L52)/E52*1000000</f>
        <v>519.99999999998715</v>
      </c>
      <c r="O52" s="50">
        <f t="shared" ref="O52:O58" si="10">(G52-M52)/E52*1000000</f>
        <v>870.00000000001523</v>
      </c>
      <c r="P52" s="95">
        <f t="shared" ref="P52:P58" si="11">AVERAGE(N52:O52)</f>
        <v>695.00000000000114</v>
      </c>
      <c r="Q52" s="4"/>
      <c r="R52" s="4"/>
      <c r="S52" s="4"/>
      <c r="T52" s="4"/>
      <c r="U52" s="26"/>
      <c r="V52" s="27"/>
      <c r="W52" s="27"/>
      <c r="X52" s="88"/>
      <c r="Y52" s="88" t="s">
        <v>102</v>
      </c>
      <c r="Z52" s="88" t="s">
        <v>103</v>
      </c>
      <c r="AA52" s="27"/>
      <c r="AB52" s="85"/>
      <c r="AC52" s="27"/>
      <c r="AD52" s="27"/>
      <c r="AE52" s="27"/>
      <c r="AF52" s="27"/>
      <c r="AG52" s="27"/>
      <c r="AH52" s="27"/>
      <c r="AI52" s="27"/>
      <c r="AJ52" s="27"/>
      <c r="AK52" s="86"/>
      <c r="AL52" s="4"/>
      <c r="AM52" s="4"/>
      <c r="AN52" s="4"/>
      <c r="AO52" s="4"/>
      <c r="AP52" s="4"/>
      <c r="AQ52" s="4"/>
      <c r="AR52" s="4"/>
      <c r="AS52" s="4"/>
      <c r="AT52" s="4"/>
      <c r="AU52" s="4"/>
      <c r="AV52" s="4"/>
      <c r="AW52" s="4"/>
      <c r="AX52" s="4"/>
      <c r="AY52" s="4"/>
      <c r="AZ52" s="4"/>
      <c r="BA52" s="4"/>
      <c r="BB52" s="4"/>
      <c r="BC52" s="4"/>
      <c r="BD52" s="4"/>
    </row>
    <row r="53" spans="1:57" x14ac:dyDescent="0.25">
      <c r="A53" s="89">
        <v>2</v>
      </c>
      <c r="B53" s="90">
        <v>1.1345000000000001</v>
      </c>
      <c r="C53" s="96">
        <v>1.1268</v>
      </c>
      <c r="D53" s="47">
        <v>10</v>
      </c>
      <c r="E53" s="47">
        <v>10</v>
      </c>
      <c r="F53" s="91">
        <v>1.1422000000000001</v>
      </c>
      <c r="G53" s="91">
        <v>1.1357999999999999</v>
      </c>
      <c r="H53" s="47">
        <v>1</v>
      </c>
      <c r="I53" s="92">
        <f t="shared" si="6"/>
        <v>0.77000000000000401</v>
      </c>
      <c r="J53" s="92">
        <f t="shared" si="7"/>
        <v>0.8999999999999897</v>
      </c>
      <c r="K53" s="93">
        <f t="shared" si="8"/>
        <v>0.83499999999999686</v>
      </c>
      <c r="L53" s="81">
        <v>1.1359999999999999</v>
      </c>
      <c r="M53" s="81">
        <v>1.1286</v>
      </c>
      <c r="N53" s="94">
        <f t="shared" si="9"/>
        <v>620.00000000002046</v>
      </c>
      <c r="O53" s="50">
        <f t="shared" si="10"/>
        <v>719.99999999998738</v>
      </c>
      <c r="P53" s="95">
        <f t="shared" si="11"/>
        <v>670.00000000000387</v>
      </c>
      <c r="Q53" s="4"/>
      <c r="R53" s="4"/>
      <c r="S53" s="4"/>
      <c r="T53" s="4"/>
      <c r="U53" s="26"/>
      <c r="V53" s="27"/>
      <c r="W53" s="27"/>
      <c r="X53" s="27"/>
      <c r="Y53" s="27"/>
      <c r="Z53" s="27"/>
      <c r="AA53" s="27"/>
      <c r="AB53" s="85"/>
      <c r="AC53" s="27"/>
      <c r="AD53" s="27"/>
      <c r="AE53" s="27"/>
      <c r="AF53" s="27"/>
      <c r="AG53" s="27"/>
      <c r="AH53" s="27"/>
      <c r="AI53" s="27"/>
      <c r="AJ53" s="27"/>
      <c r="AK53" s="86"/>
      <c r="AL53" s="4"/>
      <c r="AM53" s="4"/>
      <c r="AN53" s="4"/>
      <c r="AO53" s="4"/>
      <c r="AP53" s="4"/>
      <c r="AQ53" s="4"/>
      <c r="AR53" s="4"/>
      <c r="AS53" s="4"/>
      <c r="AT53" s="4"/>
      <c r="AU53" s="4"/>
      <c r="AV53" s="4"/>
      <c r="AW53" s="4"/>
      <c r="AX53" s="4"/>
      <c r="AY53" s="4"/>
      <c r="AZ53" s="4"/>
      <c r="BA53" s="4"/>
      <c r="BB53" s="4"/>
      <c r="BC53" s="4"/>
      <c r="BD53" s="4"/>
    </row>
    <row r="54" spans="1:57" x14ac:dyDescent="0.25">
      <c r="A54" s="89">
        <v>3</v>
      </c>
      <c r="B54" s="90">
        <v>1.1140000000000001</v>
      </c>
      <c r="C54" s="74">
        <v>1.1224000000000001</v>
      </c>
      <c r="D54" s="47">
        <v>10</v>
      </c>
      <c r="E54" s="47">
        <v>10</v>
      </c>
      <c r="F54" s="91">
        <v>1.1231</v>
      </c>
      <c r="G54" s="91">
        <v>1.1285000000000001</v>
      </c>
      <c r="H54" s="47">
        <v>1</v>
      </c>
      <c r="I54" s="92">
        <f t="shared" si="6"/>
        <v>0.9099999999999886</v>
      </c>
      <c r="J54" s="92">
        <f t="shared" si="7"/>
        <v>0.60999999999999943</v>
      </c>
      <c r="K54" s="93">
        <f t="shared" si="8"/>
        <v>0.75999999999999401</v>
      </c>
      <c r="L54" s="81">
        <v>1.1160000000000001</v>
      </c>
      <c r="M54" s="81">
        <v>1.1233</v>
      </c>
      <c r="N54" s="94">
        <f t="shared" si="9"/>
        <v>709.9999999999884</v>
      </c>
      <c r="O54" s="50">
        <f t="shared" si="10"/>
        <v>520.00000000000944</v>
      </c>
      <c r="P54" s="95">
        <f t="shared" si="11"/>
        <v>614.99999999999886</v>
      </c>
      <c r="Q54" s="4"/>
      <c r="R54" s="4"/>
      <c r="S54" s="4"/>
      <c r="T54" s="4"/>
      <c r="U54" s="26"/>
      <c r="V54" s="586" t="s">
        <v>5</v>
      </c>
      <c r="W54" s="586"/>
      <c r="X54" s="586"/>
      <c r="Y54" s="586"/>
      <c r="Z54" s="586"/>
      <c r="AA54" s="27"/>
      <c r="AB54" s="85"/>
      <c r="AC54" s="27"/>
      <c r="AD54" s="27"/>
      <c r="AE54" s="27"/>
      <c r="AF54" s="27"/>
      <c r="AG54" s="27"/>
      <c r="AH54" s="27"/>
      <c r="AI54" s="27"/>
      <c r="AJ54" s="27"/>
      <c r="AK54" s="86"/>
      <c r="AL54" s="4"/>
      <c r="AM54" s="4"/>
      <c r="AN54" s="4"/>
      <c r="AO54" s="4"/>
      <c r="AP54" s="4"/>
      <c r="AQ54" s="4"/>
      <c r="AR54" s="4"/>
      <c r="AS54" s="4"/>
      <c r="AT54" s="4"/>
      <c r="AU54" s="4"/>
      <c r="AV54" s="4"/>
      <c r="AW54" s="4"/>
      <c r="AX54" s="4"/>
      <c r="AY54" s="4"/>
      <c r="AZ54" s="4"/>
      <c r="BA54" s="4"/>
      <c r="BB54" s="4"/>
      <c r="BC54" s="4"/>
      <c r="BD54" s="4"/>
    </row>
    <row r="55" spans="1:57" x14ac:dyDescent="0.25">
      <c r="A55" s="89">
        <v>4</v>
      </c>
      <c r="B55" s="96">
        <v>1.1173999999999999</v>
      </c>
      <c r="C55" s="97">
        <v>1.115</v>
      </c>
      <c r="D55" s="47">
        <v>10</v>
      </c>
      <c r="E55" s="47">
        <v>10</v>
      </c>
      <c r="F55" s="91">
        <v>1.1213</v>
      </c>
      <c r="G55" s="91">
        <v>1.119</v>
      </c>
      <c r="H55" s="47">
        <v>1</v>
      </c>
      <c r="I55" s="92">
        <f t="shared" si="6"/>
        <v>0.39000000000000146</v>
      </c>
      <c r="J55" s="92">
        <f t="shared" si="7"/>
        <v>0.40000000000000036</v>
      </c>
      <c r="K55" s="93">
        <f t="shared" si="8"/>
        <v>0.39500000000000091</v>
      </c>
      <c r="L55" s="81">
        <v>1.1178999999999999</v>
      </c>
      <c r="M55" s="81">
        <v>1.1148</v>
      </c>
      <c r="N55" s="94">
        <f t="shared" si="9"/>
        <v>340.00000000000693</v>
      </c>
      <c r="O55" s="50">
        <f t="shared" si="10"/>
        <v>419.99999999999818</v>
      </c>
      <c r="P55" s="95">
        <f t="shared" si="11"/>
        <v>380.00000000000256</v>
      </c>
      <c r="Q55" s="4"/>
      <c r="R55" s="4"/>
      <c r="S55" s="4"/>
      <c r="T55" s="4"/>
      <c r="U55" s="26"/>
      <c r="V55" s="98"/>
      <c r="W55" s="99"/>
      <c r="X55" s="99"/>
      <c r="Y55" s="100" t="s">
        <v>9</v>
      </c>
      <c r="Z55" s="101"/>
      <c r="AA55" s="27"/>
      <c r="AB55" s="85"/>
      <c r="AC55" s="27"/>
      <c r="AD55" s="27"/>
      <c r="AE55" s="27"/>
      <c r="AF55" s="27"/>
      <c r="AG55" s="27"/>
      <c r="AH55" s="27"/>
      <c r="AI55" s="27"/>
      <c r="AJ55" s="27"/>
      <c r="AK55" s="28"/>
      <c r="AL55" s="4"/>
      <c r="AM55" s="4"/>
      <c r="AN55" s="4"/>
      <c r="AO55" s="4"/>
      <c r="AP55" s="4"/>
      <c r="AQ55" s="4"/>
      <c r="AR55" s="4"/>
      <c r="AS55" s="4"/>
      <c r="AT55" s="4"/>
      <c r="AU55" s="4"/>
      <c r="AV55" s="4"/>
      <c r="AW55" s="4"/>
      <c r="AX55" s="4"/>
      <c r="AY55" s="4"/>
      <c r="AZ55" s="4"/>
      <c r="BA55" s="4"/>
      <c r="BB55" s="4"/>
      <c r="BC55" s="4"/>
      <c r="BD55" s="4"/>
    </row>
    <row r="56" spans="1:57" x14ac:dyDescent="0.25">
      <c r="A56" s="89">
        <v>5</v>
      </c>
      <c r="B56" s="96">
        <v>1.1217999999999999</v>
      </c>
      <c r="C56" s="97">
        <v>1.1165</v>
      </c>
      <c r="D56" s="47">
        <v>10</v>
      </c>
      <c r="E56" s="47">
        <v>10</v>
      </c>
      <c r="F56" s="91">
        <v>1.1253</v>
      </c>
      <c r="G56" s="91">
        <v>1.1196999999999999</v>
      </c>
      <c r="H56" s="47">
        <v>1</v>
      </c>
      <c r="I56" s="92">
        <f t="shared" si="6"/>
        <v>0.35000000000000586</v>
      </c>
      <c r="J56" s="92">
        <f t="shared" si="7"/>
        <v>0.31999999999998696</v>
      </c>
      <c r="K56" s="93">
        <f t="shared" si="8"/>
        <v>0.33499999999999641</v>
      </c>
      <c r="L56" s="81">
        <v>1.1216999999999999</v>
      </c>
      <c r="M56" s="81">
        <v>1.1168</v>
      </c>
      <c r="N56" s="94">
        <f t="shared" si="9"/>
        <v>360.00000000000472</v>
      </c>
      <c r="O56" s="50">
        <f t="shared" si="10"/>
        <v>289.99999999999022</v>
      </c>
      <c r="P56" s="95">
        <f t="shared" si="11"/>
        <v>324.9999999999975</v>
      </c>
      <c r="Q56" s="4"/>
      <c r="R56" s="4"/>
      <c r="S56" s="4"/>
      <c r="T56" s="4"/>
      <c r="U56" s="26"/>
      <c r="V56" s="102"/>
      <c r="W56" s="103" t="s">
        <v>12</v>
      </c>
      <c r="X56" s="103" t="s">
        <v>13</v>
      </c>
      <c r="Y56" s="103" t="s">
        <v>14</v>
      </c>
      <c r="Z56" s="104" t="s">
        <v>15</v>
      </c>
      <c r="AA56" s="27"/>
      <c r="AB56" s="85"/>
      <c r="AC56" s="27"/>
      <c r="AD56" s="27"/>
      <c r="AE56" s="27"/>
      <c r="AF56" s="105"/>
      <c r="AG56" s="27"/>
      <c r="AH56" s="27"/>
      <c r="AI56" s="27"/>
      <c r="AJ56" s="27"/>
      <c r="AK56" s="28"/>
      <c r="AL56" s="4"/>
      <c r="AM56" s="4"/>
      <c r="AN56" s="4"/>
      <c r="AO56" s="4"/>
      <c r="AP56" s="4"/>
      <c r="AQ56" s="4"/>
      <c r="AR56" s="4"/>
      <c r="AS56" s="4"/>
      <c r="AT56" s="4"/>
      <c r="AU56" s="4"/>
      <c r="AV56" s="4"/>
      <c r="AW56" s="4"/>
      <c r="AX56" s="4"/>
      <c r="AY56" s="4"/>
      <c r="AZ56" s="4"/>
      <c r="BA56" s="4"/>
      <c r="BB56" s="4"/>
      <c r="BC56" s="4"/>
      <c r="BD56" s="4"/>
    </row>
    <row r="57" spans="1:57" x14ac:dyDescent="0.25">
      <c r="A57" s="106">
        <v>6</v>
      </c>
      <c r="B57" s="96">
        <v>1.1181000000000001</v>
      </c>
      <c r="C57" s="97">
        <v>1.1172</v>
      </c>
      <c r="D57" s="47">
        <v>10</v>
      </c>
      <c r="E57" s="47">
        <v>10</v>
      </c>
      <c r="F57" s="107">
        <v>1.1220000000000001</v>
      </c>
      <c r="G57" s="107">
        <v>1.121</v>
      </c>
      <c r="H57" s="47">
        <v>1</v>
      </c>
      <c r="I57" s="92">
        <f t="shared" si="6"/>
        <v>0.39000000000000146</v>
      </c>
      <c r="J57" s="92">
        <f t="shared" si="7"/>
        <v>0.38000000000000256</v>
      </c>
      <c r="K57" s="93">
        <f t="shared" si="8"/>
        <v>0.38500000000000201</v>
      </c>
      <c r="L57" s="108">
        <v>1.1181000000000001</v>
      </c>
      <c r="M57" s="108">
        <v>1.1177999999999999</v>
      </c>
      <c r="N57" s="94">
        <f t="shared" si="9"/>
        <v>390.00000000000148</v>
      </c>
      <c r="O57" s="50">
        <f t="shared" si="10"/>
        <v>320.00000000000921</v>
      </c>
      <c r="P57" s="95">
        <f t="shared" si="11"/>
        <v>355.00000000000534</v>
      </c>
      <c r="Q57" s="4"/>
      <c r="R57" s="4"/>
      <c r="S57" s="4"/>
      <c r="T57" s="4"/>
      <c r="U57" s="26"/>
      <c r="V57" s="102"/>
      <c r="W57" s="103"/>
      <c r="X57" s="103"/>
      <c r="Y57" s="103"/>
      <c r="Z57" s="104"/>
      <c r="AA57" s="27"/>
      <c r="AB57" s="85"/>
      <c r="AC57" s="27"/>
      <c r="AD57" s="27"/>
      <c r="AE57" s="27"/>
      <c r="AF57" s="105"/>
      <c r="AG57" s="27"/>
      <c r="AH57" s="27"/>
      <c r="AI57" s="27"/>
      <c r="AJ57" s="27"/>
      <c r="AK57" s="28"/>
      <c r="AL57" s="4"/>
      <c r="AM57" s="4"/>
      <c r="AN57" s="4"/>
      <c r="AO57" s="4"/>
      <c r="AP57" s="4"/>
      <c r="AQ57" s="4"/>
      <c r="AR57" s="4"/>
      <c r="AS57" s="4"/>
      <c r="AT57" s="4"/>
      <c r="AU57" s="4"/>
      <c r="AV57" s="4"/>
      <c r="AW57" s="4"/>
      <c r="AX57" s="4"/>
      <c r="AY57" s="4"/>
      <c r="AZ57" s="4"/>
      <c r="BA57" s="4"/>
      <c r="BB57" s="4"/>
      <c r="BC57" s="4"/>
      <c r="BD57" s="4"/>
    </row>
    <row r="58" spans="1:57" ht="40.5" customHeight="1" x14ac:dyDescent="0.25">
      <c r="A58" s="109" t="s">
        <v>104</v>
      </c>
      <c r="B58" s="96">
        <v>1.1103000000000001</v>
      </c>
      <c r="C58" s="97">
        <v>1.1087</v>
      </c>
      <c r="D58" s="110">
        <v>10</v>
      </c>
      <c r="E58" s="110">
        <v>10</v>
      </c>
      <c r="F58" s="111">
        <v>1.1169</v>
      </c>
      <c r="G58" s="111">
        <v>1.1153999999999999</v>
      </c>
      <c r="H58" s="47">
        <v>1</v>
      </c>
      <c r="I58" s="92">
        <f t="shared" si="6"/>
        <v>0.65999999999999392</v>
      </c>
      <c r="J58" s="92">
        <f t="shared" si="7"/>
        <v>0.66999999999999282</v>
      </c>
      <c r="K58" s="93">
        <f t="shared" si="8"/>
        <v>0.66499999999999337</v>
      </c>
      <c r="L58" s="112">
        <v>1.111</v>
      </c>
      <c r="M58" s="112">
        <v>1.1096999999999999</v>
      </c>
      <c r="N58" s="52">
        <f t="shared" si="9"/>
        <v>590.00000000000171</v>
      </c>
      <c r="O58" s="50">
        <f t="shared" si="10"/>
        <v>570.00000000000387</v>
      </c>
      <c r="P58" s="95">
        <f t="shared" si="11"/>
        <v>580.00000000000273</v>
      </c>
      <c r="Q58" s="4"/>
      <c r="R58" s="4"/>
      <c r="S58" s="4"/>
      <c r="T58" s="4"/>
      <c r="U58" s="26"/>
      <c r="V58" s="102" t="s">
        <v>18</v>
      </c>
      <c r="W58" s="100" t="s">
        <v>19</v>
      </c>
      <c r="X58" s="113">
        <f>H10</f>
        <v>3.7999407189260097</v>
      </c>
      <c r="Y58" s="114"/>
      <c r="Z58" s="115"/>
      <c r="AA58" s="27"/>
      <c r="AB58" s="85"/>
      <c r="AC58" s="27"/>
      <c r="AD58" s="27"/>
      <c r="AE58" s="27"/>
      <c r="AF58" s="27"/>
      <c r="AG58" s="27"/>
      <c r="AH58" s="27"/>
      <c r="AI58" s="27"/>
      <c r="AJ58" s="27"/>
      <c r="AK58" s="28"/>
      <c r="AL58" s="4"/>
      <c r="AM58" s="4"/>
      <c r="AN58" s="4"/>
      <c r="AO58" s="4"/>
      <c r="AP58" s="4"/>
      <c r="AQ58" s="4"/>
      <c r="AR58" s="4"/>
      <c r="AS58" s="4"/>
      <c r="AT58" s="4"/>
      <c r="AU58" s="4"/>
      <c r="AV58" s="4"/>
      <c r="AW58" s="4"/>
      <c r="AX58" s="4"/>
      <c r="AY58" s="4"/>
      <c r="AZ58" s="4"/>
      <c r="BA58" s="4"/>
      <c r="BB58" s="4"/>
      <c r="BC58" s="4"/>
      <c r="BD58" s="4"/>
      <c r="BE58" s="4"/>
    </row>
    <row r="59" spans="1:57" ht="34.5" customHeight="1" x14ac:dyDescent="0.25">
      <c r="A59" s="4" t="s">
        <v>105</v>
      </c>
      <c r="B59" s="4"/>
      <c r="C59" s="116"/>
      <c r="D59" s="116"/>
      <c r="E59" s="4"/>
      <c r="F59" s="4"/>
      <c r="G59" s="4"/>
      <c r="H59" s="4"/>
      <c r="I59" s="4"/>
      <c r="J59" s="4"/>
      <c r="K59" s="4"/>
      <c r="L59" s="4"/>
      <c r="M59" s="4"/>
      <c r="N59" s="4"/>
      <c r="O59" s="4"/>
      <c r="P59" s="4"/>
      <c r="Q59" s="4"/>
      <c r="R59" s="4"/>
      <c r="S59" s="4"/>
      <c r="T59" s="4"/>
      <c r="U59" s="26"/>
      <c r="V59" s="102" t="s">
        <v>22</v>
      </c>
      <c r="W59" s="100" t="s">
        <v>106</v>
      </c>
      <c r="X59" s="117">
        <f>H11</f>
        <v>0.17699999999999999</v>
      </c>
      <c r="Y59" s="117">
        <f t="shared" ref="Y59:Z62" si="12">I11</f>
        <v>0.17699999999999999</v>
      </c>
      <c r="Z59" s="118">
        <f t="shared" si="12"/>
        <v>0.17699999999999999</v>
      </c>
      <c r="AA59" s="27"/>
      <c r="AB59" s="85"/>
      <c r="AC59" s="27"/>
      <c r="AD59" s="27"/>
      <c r="AE59" s="27"/>
      <c r="AF59" s="27"/>
      <c r="AG59" s="27"/>
      <c r="AH59" s="27"/>
      <c r="AI59" s="27"/>
      <c r="AJ59" s="27"/>
      <c r="AK59" s="28"/>
      <c r="AL59" s="4"/>
      <c r="AM59" s="4"/>
      <c r="AN59" s="4"/>
      <c r="AO59" s="4"/>
      <c r="AP59" s="4"/>
      <c r="AQ59" s="4"/>
      <c r="AR59" s="4"/>
      <c r="AS59" s="4"/>
      <c r="AT59" s="4"/>
      <c r="AU59" s="4"/>
      <c r="AV59" s="4"/>
      <c r="AW59" s="4"/>
      <c r="AX59" s="4"/>
      <c r="AY59" s="4"/>
      <c r="AZ59" s="4"/>
      <c r="BA59" s="4"/>
      <c r="BB59" s="4"/>
      <c r="BC59" s="4"/>
      <c r="BD59" s="4"/>
      <c r="BE59" s="4"/>
    </row>
    <row r="60" spans="1:57" x14ac:dyDescent="0.25">
      <c r="A60" s="4"/>
      <c r="B60" s="4"/>
      <c r="C60" s="4"/>
      <c r="D60" s="4"/>
      <c r="E60" s="4"/>
      <c r="F60" s="4"/>
      <c r="G60" s="4"/>
      <c r="H60" s="4"/>
      <c r="I60" s="4"/>
      <c r="J60" s="4"/>
      <c r="K60" s="4"/>
      <c r="L60" s="4"/>
      <c r="M60" s="4"/>
      <c r="N60" s="4"/>
      <c r="O60" s="4"/>
      <c r="P60" s="4"/>
      <c r="Q60" s="4"/>
      <c r="R60" s="4"/>
      <c r="S60" s="4"/>
      <c r="T60" s="4"/>
      <c r="U60" s="26"/>
      <c r="V60" s="102" t="s">
        <v>26</v>
      </c>
      <c r="W60" s="100" t="s">
        <v>27</v>
      </c>
      <c r="X60" s="119">
        <f>H12</f>
        <v>25.953079178885631</v>
      </c>
      <c r="Y60" s="119">
        <f t="shared" si="12"/>
        <v>32.741633515543377</v>
      </c>
      <c r="Z60" s="119">
        <f t="shared" si="12"/>
        <v>23.620471108633257</v>
      </c>
      <c r="AA60" s="27"/>
      <c r="AB60" s="85"/>
      <c r="AC60" s="27"/>
      <c r="AD60" s="27"/>
      <c r="AE60" s="27"/>
      <c r="AF60" s="27"/>
      <c r="AG60" s="27"/>
      <c r="AH60" s="27"/>
      <c r="AI60" s="27"/>
      <c r="AJ60" s="27"/>
      <c r="AK60" s="28"/>
      <c r="AL60" s="4"/>
      <c r="AM60" s="4"/>
      <c r="AN60" s="4"/>
      <c r="AO60" s="4"/>
      <c r="AP60" s="4"/>
      <c r="AQ60" s="4"/>
      <c r="AR60" s="4"/>
      <c r="AS60" s="4"/>
      <c r="AT60" s="4"/>
      <c r="AU60" s="4"/>
      <c r="AV60" s="4"/>
      <c r="AW60" s="4"/>
      <c r="AX60" s="4"/>
      <c r="AY60" s="4"/>
      <c r="AZ60" s="4"/>
      <c r="BA60" s="4"/>
      <c r="BB60" s="4"/>
      <c r="BC60" s="4"/>
      <c r="BD60" s="4"/>
      <c r="BE60" s="4"/>
    </row>
    <row r="61" spans="1:57" x14ac:dyDescent="0.25">
      <c r="A61" s="587" t="s">
        <v>107</v>
      </c>
      <c r="B61" s="587"/>
      <c r="C61" s="587"/>
      <c r="D61" s="587"/>
      <c r="E61" s="587"/>
      <c r="F61" s="587"/>
      <c r="G61" s="587"/>
      <c r="H61" s="587"/>
      <c r="I61" s="587"/>
      <c r="J61" s="587"/>
      <c r="K61" s="587"/>
      <c r="L61" s="587"/>
      <c r="M61" s="587"/>
      <c r="N61" s="587"/>
      <c r="O61" s="587"/>
      <c r="P61" s="4"/>
      <c r="Q61" s="4"/>
      <c r="R61" s="4"/>
      <c r="S61" s="4"/>
      <c r="T61" s="4"/>
      <c r="U61" s="26"/>
      <c r="V61" s="102" t="s">
        <v>30</v>
      </c>
      <c r="W61" s="100" t="s">
        <v>19</v>
      </c>
      <c r="X61" s="114">
        <f>H13</f>
        <v>28.97188287046578</v>
      </c>
      <c r="Y61" s="120">
        <f t="shared" si="12"/>
        <v>29.734925689014489</v>
      </c>
      <c r="Z61" s="121">
        <f t="shared" si="12"/>
        <v>32.889427083420557</v>
      </c>
      <c r="AA61" s="27"/>
      <c r="AB61" s="85"/>
      <c r="AC61" s="27"/>
      <c r="AD61" s="27"/>
      <c r="AE61" s="27"/>
      <c r="AF61" s="27"/>
      <c r="AG61" s="27"/>
      <c r="AH61" s="27"/>
      <c r="AI61" s="27"/>
      <c r="AJ61" s="27"/>
      <c r="AK61" s="28"/>
      <c r="AL61" s="4"/>
      <c r="AM61" s="4"/>
      <c r="AN61" s="4"/>
      <c r="AO61" s="4"/>
      <c r="AP61" s="4"/>
      <c r="AQ61" s="4"/>
      <c r="AR61" s="4"/>
      <c r="AS61" s="4"/>
      <c r="AT61" s="4"/>
      <c r="AU61" s="4"/>
      <c r="AV61" s="4"/>
      <c r="AW61" s="4"/>
      <c r="AX61" s="4"/>
      <c r="AY61" s="4"/>
      <c r="AZ61" s="4"/>
      <c r="BA61" s="4"/>
      <c r="BB61" s="4"/>
      <c r="BC61" s="4"/>
      <c r="BD61" s="4"/>
      <c r="BE61" s="4"/>
    </row>
    <row r="62" spans="1:57" x14ac:dyDescent="0.25">
      <c r="A62" s="55" t="s">
        <v>84</v>
      </c>
      <c r="B62" s="56" t="s">
        <v>108</v>
      </c>
      <c r="C62" s="56" t="s">
        <v>109</v>
      </c>
      <c r="D62" s="56" t="s">
        <v>110</v>
      </c>
      <c r="E62" s="56" t="s">
        <v>111</v>
      </c>
      <c r="F62" s="56" t="s">
        <v>89</v>
      </c>
      <c r="G62" s="56" t="s">
        <v>90</v>
      </c>
      <c r="H62" s="56" t="s">
        <v>112</v>
      </c>
      <c r="I62" s="56" t="s">
        <v>113</v>
      </c>
      <c r="J62" s="56" t="s">
        <v>114</v>
      </c>
      <c r="K62" s="56" t="s">
        <v>95</v>
      </c>
      <c r="L62" s="56" t="s">
        <v>96</v>
      </c>
      <c r="M62" s="56" t="s">
        <v>115</v>
      </c>
      <c r="N62" s="56" t="s">
        <v>116</v>
      </c>
      <c r="O62" s="87" t="s">
        <v>117</v>
      </c>
      <c r="P62" s="4"/>
      <c r="Q62" s="4"/>
      <c r="R62" s="4"/>
      <c r="S62" s="4"/>
      <c r="T62" s="4"/>
      <c r="U62" s="26"/>
      <c r="V62" s="122" t="s">
        <v>33</v>
      </c>
      <c r="W62" s="123" t="s">
        <v>34</v>
      </c>
      <c r="X62" s="124">
        <f>H14</f>
        <v>580.00000000000273</v>
      </c>
      <c r="Y62" s="124">
        <f t="shared" si="12"/>
        <v>334.99999999999642</v>
      </c>
      <c r="Z62" s="125">
        <f t="shared" si="12"/>
        <v>834.99999999999682</v>
      </c>
      <c r="AA62" s="27"/>
      <c r="AB62" s="85"/>
      <c r="AC62" s="27"/>
      <c r="AD62" s="27"/>
      <c r="AE62" s="27"/>
      <c r="AF62" s="27"/>
      <c r="AG62" s="27"/>
      <c r="AH62" s="27"/>
      <c r="AI62" s="27"/>
      <c r="AJ62" s="27"/>
      <c r="AK62" s="28"/>
      <c r="AL62" s="4"/>
      <c r="AM62" s="4"/>
      <c r="AN62" s="4"/>
      <c r="AO62" s="4"/>
      <c r="AP62" s="4"/>
      <c r="AQ62" s="4"/>
      <c r="AR62" s="4"/>
      <c r="AS62" s="4"/>
      <c r="AT62" s="4"/>
      <c r="AU62" s="4"/>
      <c r="AV62" s="4"/>
      <c r="AW62" s="4"/>
      <c r="AX62" s="4"/>
      <c r="AY62" s="4"/>
      <c r="AZ62" s="4"/>
      <c r="BA62" s="4"/>
      <c r="BB62" s="4"/>
      <c r="BC62" s="4"/>
      <c r="BD62" s="4"/>
      <c r="BE62" s="4"/>
    </row>
    <row r="63" spans="1:57" x14ac:dyDescent="0.25">
      <c r="A63" s="89">
        <v>1</v>
      </c>
      <c r="B63" s="126">
        <v>1.0061</v>
      </c>
      <c r="C63" s="126">
        <v>1.0124</v>
      </c>
      <c r="D63" s="126">
        <v>5.2952000000000004</v>
      </c>
      <c r="E63" s="126">
        <v>5.3098000000000001</v>
      </c>
      <c r="F63" s="127">
        <v>2.2717999999999998</v>
      </c>
      <c r="G63" s="128">
        <v>2.3264999999999998</v>
      </c>
      <c r="H63" s="68">
        <f t="shared" ref="H63:I70" si="13">(F63-B63)*100/(D63-B63)</f>
        <v>29.509687346995864</v>
      </c>
      <c r="I63" s="68">
        <f t="shared" si="13"/>
        <v>30.578954716805505</v>
      </c>
      <c r="J63" s="68">
        <f t="shared" ref="J63:J70" si="14">AVERAGE(H63:I63)</f>
        <v>30.044321031900687</v>
      </c>
      <c r="K63" s="81">
        <v>1.4507000000000001</v>
      </c>
      <c r="L63" s="81">
        <v>1.4722</v>
      </c>
      <c r="M63" s="68">
        <f t="shared" ref="M63:N70" si="15">((F63-K63)/D63)*100</f>
        <v>15.50649644961474</v>
      </c>
      <c r="N63" s="68">
        <f t="shared" si="15"/>
        <v>16.089118234208442</v>
      </c>
      <c r="O63" s="129">
        <f t="shared" ref="O63:O70" si="16">AVERAGE(M63:N63)</f>
        <v>15.797807341911591</v>
      </c>
      <c r="P63" s="4"/>
      <c r="Q63" s="4"/>
      <c r="R63" s="4"/>
      <c r="S63" s="4"/>
      <c r="T63" s="4"/>
      <c r="U63" s="130"/>
      <c r="V63" s="131"/>
      <c r="W63" s="131"/>
      <c r="X63" s="131"/>
      <c r="Y63" s="131"/>
      <c r="Z63" s="131"/>
      <c r="AA63" s="131"/>
      <c r="AB63" s="132"/>
      <c r="AC63" s="131"/>
      <c r="AD63" s="131"/>
      <c r="AE63" s="131"/>
      <c r="AF63" s="131"/>
      <c r="AG63" s="133"/>
      <c r="AH63" s="131"/>
      <c r="AI63" s="131"/>
      <c r="AJ63" s="131"/>
      <c r="AK63" s="134"/>
      <c r="AL63" s="4"/>
      <c r="AM63" s="4"/>
      <c r="AN63" s="4"/>
      <c r="AO63" s="4"/>
      <c r="AP63" s="4"/>
      <c r="AQ63" s="4"/>
      <c r="AR63" s="4"/>
      <c r="AS63" s="4"/>
      <c r="AT63" s="4"/>
      <c r="AU63" s="4"/>
      <c r="AV63" s="4"/>
      <c r="AW63" s="4"/>
      <c r="AX63" s="4"/>
      <c r="AY63" s="4"/>
      <c r="AZ63" s="4"/>
      <c r="BA63" s="4"/>
      <c r="BB63" s="4"/>
      <c r="BC63" s="4"/>
      <c r="BD63" s="4"/>
      <c r="BE63" s="4"/>
    </row>
    <row r="64" spans="1:57" x14ac:dyDescent="0.25">
      <c r="A64" s="89">
        <v>2</v>
      </c>
      <c r="B64" s="128">
        <v>1.0114000000000001</v>
      </c>
      <c r="C64" s="128">
        <v>1.0056</v>
      </c>
      <c r="D64" s="128">
        <v>5.2580999999999998</v>
      </c>
      <c r="E64" s="128">
        <v>5.1395999999999997</v>
      </c>
      <c r="F64" s="127">
        <v>2.4169999999999998</v>
      </c>
      <c r="G64" s="128">
        <v>2.3565999999999998</v>
      </c>
      <c r="H64" s="68">
        <f t="shared" si="13"/>
        <v>33.098641297948994</v>
      </c>
      <c r="I64" s="68">
        <f t="shared" si="13"/>
        <v>32.680212868892113</v>
      </c>
      <c r="J64" s="68">
        <f t="shared" si="14"/>
        <v>32.889427083420557</v>
      </c>
      <c r="K64" s="135">
        <v>1.5103</v>
      </c>
      <c r="L64" s="135">
        <v>1.4837</v>
      </c>
      <c r="M64" s="68">
        <f t="shared" si="15"/>
        <v>17.243871360377319</v>
      </c>
      <c r="N64" s="68">
        <f t="shared" si="15"/>
        <v>16.983811969803096</v>
      </c>
      <c r="O64" s="129">
        <f t="shared" si="16"/>
        <v>17.113841665090206</v>
      </c>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row>
    <row r="65" spans="1:57" x14ac:dyDescent="0.25">
      <c r="A65" s="89">
        <v>3</v>
      </c>
      <c r="B65" s="128">
        <v>0.98880000000000001</v>
      </c>
      <c r="C65" s="128">
        <v>1.0072000000000001</v>
      </c>
      <c r="D65" s="128">
        <v>5.2674000000000003</v>
      </c>
      <c r="E65" s="128">
        <v>5.4188000000000001</v>
      </c>
      <c r="F65" s="127">
        <v>2.3317000000000001</v>
      </c>
      <c r="G65" s="128">
        <v>2.306</v>
      </c>
      <c r="H65" s="68">
        <f t="shared" si="13"/>
        <v>31.386434815126449</v>
      </c>
      <c r="I65" s="68">
        <f t="shared" si="13"/>
        <v>29.440565781122494</v>
      </c>
      <c r="J65" s="68">
        <f t="shared" si="14"/>
        <v>30.413500298124472</v>
      </c>
      <c r="K65" s="135">
        <v>1.4618</v>
      </c>
      <c r="L65" s="135">
        <v>1.4598</v>
      </c>
      <c r="M65" s="68">
        <f t="shared" si="15"/>
        <v>16.51478908000152</v>
      </c>
      <c r="N65" s="68">
        <f t="shared" si="15"/>
        <v>15.616003543219904</v>
      </c>
      <c r="O65" s="129">
        <f t="shared" si="16"/>
        <v>16.065396311610712</v>
      </c>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row>
    <row r="66" spans="1:57" ht="24" customHeight="1" x14ac:dyDescent="0.25">
      <c r="A66" s="89">
        <v>4</v>
      </c>
      <c r="B66" s="136">
        <v>1.004</v>
      </c>
      <c r="C66" s="136">
        <v>0.99750000000000005</v>
      </c>
      <c r="D66" s="136">
        <v>5.0895999999999999</v>
      </c>
      <c r="E66" s="136">
        <v>5.3243999999999998</v>
      </c>
      <c r="F66" s="137">
        <v>2.2401</v>
      </c>
      <c r="G66" s="136">
        <v>2.3258000000000001</v>
      </c>
      <c r="H66" s="68">
        <f t="shared" si="13"/>
        <v>30.255042099079699</v>
      </c>
      <c r="I66" s="68">
        <f t="shared" si="13"/>
        <v>30.69865261503617</v>
      </c>
      <c r="J66" s="68">
        <f t="shared" si="14"/>
        <v>30.476847357057935</v>
      </c>
      <c r="K66" s="135">
        <v>1.4349000000000001</v>
      </c>
      <c r="L66" s="135">
        <v>1.4601999999999999</v>
      </c>
      <c r="M66" s="68">
        <f t="shared" si="15"/>
        <v>15.82049669915121</v>
      </c>
      <c r="N66" s="68">
        <f t="shared" si="15"/>
        <v>16.257230861693341</v>
      </c>
      <c r="O66" s="129">
        <f t="shared" si="16"/>
        <v>16.038863780422275</v>
      </c>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row>
    <row r="67" spans="1:57" x14ac:dyDescent="0.25">
      <c r="A67" s="89">
        <v>5</v>
      </c>
      <c r="B67" s="136">
        <v>1.0014000000000001</v>
      </c>
      <c r="C67" s="136">
        <v>0.99550000000000005</v>
      </c>
      <c r="D67" s="136">
        <v>5.0068000000000001</v>
      </c>
      <c r="E67" s="136">
        <v>5.5061999999999998</v>
      </c>
      <c r="F67" s="137">
        <v>2.2412000000000001</v>
      </c>
      <c r="G67" s="136">
        <v>2.2818000000000001</v>
      </c>
      <c r="H67" s="68">
        <f t="shared" si="13"/>
        <v>30.953213162230991</v>
      </c>
      <c r="I67" s="68">
        <f t="shared" si="13"/>
        <v>28.51663821579799</v>
      </c>
      <c r="J67" s="68">
        <f t="shared" si="14"/>
        <v>29.734925689014489</v>
      </c>
      <c r="K67" s="135">
        <v>1.4295</v>
      </c>
      <c r="L67" s="135">
        <v>1.44</v>
      </c>
      <c r="M67" s="68">
        <f t="shared" si="15"/>
        <v>16.211951745625949</v>
      </c>
      <c r="N67" s="68">
        <f t="shared" si="15"/>
        <v>15.288220551378448</v>
      </c>
      <c r="O67" s="129">
        <f t="shared" si="16"/>
        <v>15.750086148502199</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row>
    <row r="68" spans="1:57" x14ac:dyDescent="0.25">
      <c r="A68" s="89">
        <v>6</v>
      </c>
      <c r="B68" s="136">
        <v>1.0062</v>
      </c>
      <c r="C68" s="136">
        <v>0.996</v>
      </c>
      <c r="D68" s="136">
        <v>5.0685000000000002</v>
      </c>
      <c r="E68" s="136">
        <v>5.1948999999999996</v>
      </c>
      <c r="F68" s="137">
        <v>2.2471000000000001</v>
      </c>
      <c r="G68" s="136">
        <v>2.226</v>
      </c>
      <c r="H68" s="68">
        <f t="shared" si="13"/>
        <v>30.546734608473034</v>
      </c>
      <c r="I68" s="68">
        <f t="shared" si="13"/>
        <v>29.293386363095095</v>
      </c>
      <c r="J68" s="68">
        <f t="shared" si="14"/>
        <v>29.920060485784063</v>
      </c>
      <c r="K68" s="135">
        <v>1.4378</v>
      </c>
      <c r="L68" s="135">
        <v>1.4217</v>
      </c>
      <c r="M68" s="68">
        <f t="shared" si="15"/>
        <v>15.967248692907173</v>
      </c>
      <c r="N68" s="68">
        <f t="shared" si="15"/>
        <v>15.482492444512888</v>
      </c>
      <c r="O68" s="129">
        <f t="shared" si="16"/>
        <v>15.724870568710031</v>
      </c>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row>
    <row r="69" spans="1:57" x14ac:dyDescent="0.25">
      <c r="A69" s="138" t="s">
        <v>118</v>
      </c>
      <c r="B69" s="136">
        <v>1.0041</v>
      </c>
      <c r="C69" s="136">
        <v>0.99280000000000002</v>
      </c>
      <c r="D69" s="136">
        <v>5.3082000000000003</v>
      </c>
      <c r="E69" s="136">
        <v>5.1555</v>
      </c>
      <c r="F69" s="136">
        <v>2.2970000000000002</v>
      </c>
      <c r="G69" s="136">
        <v>2.1543999999999999</v>
      </c>
      <c r="H69" s="68">
        <f t="shared" si="13"/>
        <v>30.038800213749685</v>
      </c>
      <c r="I69" s="68">
        <f t="shared" si="13"/>
        <v>27.904965527181876</v>
      </c>
      <c r="J69" s="68">
        <f t="shared" si="14"/>
        <v>28.97188287046578</v>
      </c>
      <c r="K69" s="135">
        <v>1.4430000000000001</v>
      </c>
      <c r="L69" s="135">
        <v>1.3900999999999999</v>
      </c>
      <c r="M69" s="68">
        <f t="shared" si="15"/>
        <v>16.088316190045589</v>
      </c>
      <c r="N69" s="68">
        <f t="shared" si="15"/>
        <v>14.82494423431287</v>
      </c>
      <c r="O69" s="129">
        <f t="shared" si="16"/>
        <v>15.456630212179229</v>
      </c>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row>
    <row r="70" spans="1:57" x14ac:dyDescent="0.25">
      <c r="A70" s="109" t="s">
        <v>119</v>
      </c>
      <c r="B70" s="139">
        <v>1.0059</v>
      </c>
      <c r="C70" s="139">
        <v>0.9798</v>
      </c>
      <c r="D70" s="139">
        <v>5.0523999999999996</v>
      </c>
      <c r="E70" s="139">
        <v>5.1096000000000004</v>
      </c>
      <c r="F70" s="139">
        <v>1.1594</v>
      </c>
      <c r="G70" s="139">
        <v>1.137</v>
      </c>
      <c r="H70" s="68">
        <f t="shared" si="13"/>
        <v>3.7934017051773132</v>
      </c>
      <c r="I70" s="68">
        <f t="shared" si="13"/>
        <v>3.8064797326747057</v>
      </c>
      <c r="J70" s="68">
        <f t="shared" si="14"/>
        <v>3.7999407189260097</v>
      </c>
      <c r="K70" s="140">
        <v>1.0616000000000001</v>
      </c>
      <c r="L70" s="140">
        <v>1.0412999999999999</v>
      </c>
      <c r="M70" s="141">
        <f t="shared" si="15"/>
        <v>1.9357137202121744</v>
      </c>
      <c r="N70" s="141">
        <f t="shared" si="15"/>
        <v>1.8729450446218903</v>
      </c>
      <c r="O70" s="142">
        <f t="shared" si="16"/>
        <v>1.9043293824170324</v>
      </c>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row>
    <row r="72" spans="1:57" s="162" customFormat="1" ht="99" customHeight="1" x14ac:dyDescent="0.25">
      <c r="A72" s="143" t="s">
        <v>64</v>
      </c>
      <c r="B72" s="144" t="s">
        <v>120</v>
      </c>
      <c r="C72" s="144" t="s">
        <v>121</v>
      </c>
      <c r="D72" s="145" t="s">
        <v>122</v>
      </c>
      <c r="E72" s="146" t="s">
        <v>123</v>
      </c>
      <c r="F72" s="147" t="s">
        <v>124</v>
      </c>
      <c r="G72" s="148" t="s">
        <v>125</v>
      </c>
      <c r="H72" s="145" t="s">
        <v>126</v>
      </c>
      <c r="I72" s="149" t="s">
        <v>127</v>
      </c>
      <c r="J72" s="150" t="s">
        <v>128</v>
      </c>
      <c r="K72" s="150" t="s">
        <v>129</v>
      </c>
      <c r="L72" s="150" t="s">
        <v>130</v>
      </c>
      <c r="M72" s="151" t="s">
        <v>128</v>
      </c>
      <c r="N72" s="151" t="s">
        <v>129</v>
      </c>
      <c r="O72" s="151" t="s">
        <v>130</v>
      </c>
      <c r="P72" s="151" t="s">
        <v>131</v>
      </c>
      <c r="Q72" s="152" t="s">
        <v>132</v>
      </c>
      <c r="R72" s="153" t="s">
        <v>124</v>
      </c>
      <c r="S72" s="154" t="s">
        <v>125</v>
      </c>
      <c r="T72" s="155" t="s">
        <v>126</v>
      </c>
      <c r="U72" s="154" t="s">
        <v>127</v>
      </c>
      <c r="V72" s="155" t="s">
        <v>128</v>
      </c>
      <c r="W72" s="155" t="s">
        <v>129</v>
      </c>
      <c r="X72" s="155" t="s">
        <v>130</v>
      </c>
      <c r="Y72" s="156" t="s">
        <v>128</v>
      </c>
      <c r="Z72" s="156" t="s">
        <v>129</v>
      </c>
      <c r="AA72" s="156" t="s">
        <v>130</v>
      </c>
      <c r="AB72" s="158" t="s">
        <v>133</v>
      </c>
      <c r="AC72" s="147" t="s">
        <v>124</v>
      </c>
      <c r="AD72" s="148" t="s">
        <v>125</v>
      </c>
      <c r="AE72" s="145" t="s">
        <v>126</v>
      </c>
      <c r="AF72" s="148" t="s">
        <v>127</v>
      </c>
      <c r="AG72" s="145" t="s">
        <v>134</v>
      </c>
      <c r="AH72" s="145" t="s">
        <v>135</v>
      </c>
      <c r="AI72" s="145" t="s">
        <v>136</v>
      </c>
      <c r="AJ72" s="145" t="s">
        <v>137</v>
      </c>
      <c r="AK72" s="145" t="s">
        <v>138</v>
      </c>
      <c r="AL72" s="145" t="s">
        <v>139</v>
      </c>
      <c r="AM72" s="145" t="s">
        <v>140</v>
      </c>
      <c r="AN72" s="159" t="s">
        <v>134</v>
      </c>
      <c r="AO72" s="159" t="s">
        <v>135</v>
      </c>
      <c r="AP72" s="160" t="s">
        <v>136</v>
      </c>
      <c r="AQ72" s="159" t="s">
        <v>141</v>
      </c>
      <c r="AR72" s="161" t="s">
        <v>142</v>
      </c>
      <c r="AS72" s="147" t="s">
        <v>143</v>
      </c>
      <c r="AT72" s="145" t="s">
        <v>144</v>
      </c>
      <c r="AU72" s="145" t="s">
        <v>145</v>
      </c>
      <c r="AV72" s="145" t="s">
        <v>146</v>
      </c>
      <c r="AW72" s="161"/>
    </row>
    <row r="73" spans="1:57" s="172" customFormat="1" x14ac:dyDescent="0.25">
      <c r="A73" s="163">
        <f>I33</f>
        <v>20.007722912874286</v>
      </c>
      <c r="B73" s="149">
        <f>C42</f>
        <v>39.533333333333339</v>
      </c>
      <c r="C73" s="149">
        <f>B42</f>
        <v>73.233333333333334</v>
      </c>
      <c r="D73" s="149">
        <f t="shared" ref="D73:D78" si="17">J63</f>
        <v>30.044321031900687</v>
      </c>
      <c r="E73" s="164">
        <f t="shared" ref="E73:E78" si="18">K52*1000</f>
        <v>1040.0000000000075</v>
      </c>
      <c r="F73" s="163">
        <f>AVERAGE(B73)</f>
        <v>39.533333333333339</v>
      </c>
      <c r="G73" s="149">
        <f>F73-B73</f>
        <v>0</v>
      </c>
      <c r="H73" s="149">
        <v>20</v>
      </c>
      <c r="I73" s="149">
        <f>IF(AND(G73&gt;H73,G74&gt;H74),1,2)</f>
        <v>2</v>
      </c>
      <c r="J73" s="165">
        <f>INDEX(A73:A78,MATCH(1,I73:I78,0))</f>
        <v>34.901150296083991</v>
      </c>
      <c r="K73" s="165">
        <f>INDEX(D73:D78,MATCH(1,I73:I78,0))</f>
        <v>29.920060485784063</v>
      </c>
      <c r="L73" s="165">
        <f>INDEX(E73:E78,MATCH(1,I73:I78,0))</f>
        <v>385.00000000000199</v>
      </c>
      <c r="M73" s="165">
        <f>J73</f>
        <v>34.901150296083991</v>
      </c>
      <c r="N73" s="165">
        <f>K73</f>
        <v>29.920060485784063</v>
      </c>
      <c r="O73" s="165">
        <f>L73</f>
        <v>385.00000000000199</v>
      </c>
      <c r="P73" s="165"/>
      <c r="Q73" s="166"/>
      <c r="R73" s="167">
        <f>AVERAGE(C73)</f>
        <v>73.233333333333334</v>
      </c>
      <c r="S73" s="168">
        <f>R73-C73</f>
        <v>0</v>
      </c>
      <c r="T73" s="168">
        <v>20</v>
      </c>
      <c r="U73" s="168">
        <f>IF(AND(S73&gt;T73,S74&gt;T74),1,2)</f>
        <v>2</v>
      </c>
      <c r="V73" s="168">
        <f>INDEX(A73:A77,MATCH(1,U73:U78,0))</f>
        <v>32.741633515543377</v>
      </c>
      <c r="W73" s="168">
        <f>INDEX(D73:D78,MATCH(1,U73:U78,0))</f>
        <v>29.734925689014489</v>
      </c>
      <c r="X73" s="168">
        <f>INDEX(E73:E77,MATCH(1,U73:U77,0))</f>
        <v>334.99999999999642</v>
      </c>
      <c r="Y73" s="168">
        <f>V73</f>
        <v>32.741633515543377</v>
      </c>
      <c r="Z73" s="168">
        <f>W73</f>
        <v>29.734925689014489</v>
      </c>
      <c r="AA73" s="168">
        <f>X73</f>
        <v>334.99999999999642</v>
      </c>
      <c r="AB73" s="170"/>
      <c r="AC73" s="163">
        <f>AVERAGE(D73)</f>
        <v>30.044321031900687</v>
      </c>
      <c r="AD73" s="149">
        <f>AC73-D73</f>
        <v>0</v>
      </c>
      <c r="AE73" s="149">
        <v>20</v>
      </c>
      <c r="AF73" s="149">
        <f>IF(AND(AD73&gt;AE73,AD74&gt;AE74),1,2)</f>
        <v>2</v>
      </c>
      <c r="AG73" s="149">
        <f>A74</f>
        <v>23.620471108633257</v>
      </c>
      <c r="AH73" s="149" t="e">
        <f>INDEX(D73:D77,MATCH(1,AF73:AF78,0))</f>
        <v>#N/A</v>
      </c>
      <c r="AI73" s="149" t="e">
        <f>INDEX(E73:E77,MATCH(1,AF73:AF77,0))</f>
        <v>#N/A</v>
      </c>
      <c r="AJ73" s="149">
        <v>812</v>
      </c>
      <c r="AK73" s="171" t="e">
        <f>IF(AND(ISNUMBER(AG73), AG73&lt;AJ73), AI73,"")</f>
        <v>#N/A</v>
      </c>
      <c r="AL73" s="149"/>
      <c r="AM73" s="149" t="e">
        <f>IF((AJ73&gt;AK73),1,2)</f>
        <v>#N/A</v>
      </c>
      <c r="AN73" s="149">
        <f>A74</f>
        <v>23.620471108633257</v>
      </c>
      <c r="AO73" s="149">
        <f>D74</f>
        <v>32.889427083420557</v>
      </c>
      <c r="AP73" s="149">
        <f>E74</f>
        <v>834.99999999999682</v>
      </c>
      <c r="AQ73" s="149" t="s">
        <v>147</v>
      </c>
      <c r="AR73" s="164"/>
      <c r="AS73" s="163">
        <f>D15</f>
        <v>25.953079178885631</v>
      </c>
      <c r="AT73" s="149">
        <f>J69</f>
        <v>28.97188287046578</v>
      </c>
      <c r="AU73" s="149">
        <f>P58</f>
        <v>580.00000000000273</v>
      </c>
      <c r="AV73" s="149">
        <f>J70</f>
        <v>3.7999407189260097</v>
      </c>
      <c r="AW73" s="164"/>
    </row>
    <row r="74" spans="1:57" s="172" customFormat="1" x14ac:dyDescent="0.25">
      <c r="A74" s="163">
        <f>I34</f>
        <v>23.620471108633257</v>
      </c>
      <c r="B74" s="149">
        <f>C43</f>
        <v>37.400000000000006</v>
      </c>
      <c r="C74" s="149">
        <f>B43</f>
        <v>48</v>
      </c>
      <c r="D74" s="149">
        <f t="shared" si="17"/>
        <v>32.889427083420557</v>
      </c>
      <c r="E74" s="164">
        <f t="shared" si="18"/>
        <v>834.99999999999682</v>
      </c>
      <c r="F74" s="163">
        <f>AVERAGE(B73:B74)</f>
        <v>38.466666666666669</v>
      </c>
      <c r="G74" s="149">
        <f>(F73-B74)*100/F73</f>
        <v>5.3962900505902169</v>
      </c>
      <c r="H74" s="149">
        <v>20</v>
      </c>
      <c r="I74" s="149">
        <f>IF(AND(G73&gt;H73,G74&gt;H74,G75&lt;H75),1,2)</f>
        <v>2</v>
      </c>
      <c r="J74" s="165"/>
      <c r="K74" s="165"/>
      <c r="L74" s="165"/>
      <c r="M74" s="173"/>
      <c r="N74" s="165"/>
      <c r="O74" s="165"/>
      <c r="P74" s="165"/>
      <c r="Q74" s="166"/>
      <c r="R74" s="167">
        <f>AVERAGE(C73:C74)</f>
        <v>60.616666666666667</v>
      </c>
      <c r="S74" s="168">
        <f>(R73-C74)*100/R73</f>
        <v>34.45607646791079</v>
      </c>
      <c r="T74" s="168">
        <v>20</v>
      </c>
      <c r="U74" s="168">
        <f>IF(AND(S73&gt;T73,S74&gt;T74,S75&lt;T75),1,2)</f>
        <v>2</v>
      </c>
      <c r="V74" s="168"/>
      <c r="W74" s="168"/>
      <c r="X74" s="168"/>
      <c r="Y74" s="168"/>
      <c r="Z74" s="168"/>
      <c r="AA74" s="168"/>
      <c r="AB74" s="170"/>
      <c r="AC74" s="163">
        <f>AVERAGE(D73:D74)</f>
        <v>31.466874057660622</v>
      </c>
      <c r="AD74" s="149">
        <f>(AC73-D74)*100/AC73</f>
        <v>-9.4696966142086296</v>
      </c>
      <c r="AE74" s="149">
        <v>20</v>
      </c>
      <c r="AF74" s="149">
        <f>IF(AND(AD73&gt;AE73,AD74&gt;AE74,AD75&lt;AE75),1,2)</f>
        <v>2</v>
      </c>
      <c r="AG74" s="149"/>
      <c r="AH74" s="149"/>
      <c r="AI74" s="149"/>
      <c r="AJ74" s="149"/>
      <c r="AK74" s="149"/>
      <c r="AL74" s="149"/>
      <c r="AM74" s="149"/>
      <c r="AN74" s="149"/>
      <c r="AO74" s="149"/>
      <c r="AP74" s="149"/>
      <c r="AQ74" s="149"/>
      <c r="AR74" s="164"/>
      <c r="AS74" s="163"/>
      <c r="AT74" s="149"/>
      <c r="AU74" s="149"/>
      <c r="AV74" s="149"/>
      <c r="AW74" s="164"/>
    </row>
    <row r="75" spans="1:57" s="172" customFormat="1" x14ac:dyDescent="0.25">
      <c r="A75" s="163">
        <f>I35</f>
        <v>27.258618248517067</v>
      </c>
      <c r="B75" s="149">
        <f>C44</f>
        <v>31.049999999999997</v>
      </c>
      <c r="C75" s="149">
        <f>B44</f>
        <v>46.833333333333336</v>
      </c>
      <c r="D75" s="149">
        <f t="shared" si="17"/>
        <v>30.413500298124472</v>
      </c>
      <c r="E75" s="164">
        <f t="shared" si="18"/>
        <v>759.99999999999397</v>
      </c>
      <c r="F75" s="163">
        <f>AVERAGE(B74:B75)</f>
        <v>34.225000000000001</v>
      </c>
      <c r="G75" s="149">
        <f>(F74-B75)*100/F74</f>
        <v>19.280762564991349</v>
      </c>
      <c r="H75" s="149">
        <v>20</v>
      </c>
      <c r="I75" s="149">
        <f>IF(AND(G74&gt;H74,G75&gt;H75,G76&lt;H76),1,2)</f>
        <v>2</v>
      </c>
      <c r="J75" s="165"/>
      <c r="K75" s="165"/>
      <c r="L75" s="165"/>
      <c r="M75" s="165"/>
      <c r="N75" s="165"/>
      <c r="O75" s="165"/>
      <c r="P75" s="165"/>
      <c r="Q75" s="166"/>
      <c r="R75" s="167">
        <f>AVERAGE(C74:C75)</f>
        <v>47.416666666666671</v>
      </c>
      <c r="S75" s="168">
        <f>(R74-C75)*100/R74</f>
        <v>22.738520758867192</v>
      </c>
      <c r="T75" s="168">
        <v>20</v>
      </c>
      <c r="U75" s="168">
        <f>IF(AND(S74&gt;T74,S75&gt;T75,S76&lt;T76),1,2)</f>
        <v>2</v>
      </c>
      <c r="V75" s="168"/>
      <c r="W75" s="168"/>
      <c r="X75" s="168"/>
      <c r="Y75" s="168"/>
      <c r="Z75" s="168"/>
      <c r="AA75" s="168"/>
      <c r="AB75" s="170"/>
      <c r="AC75" s="163">
        <f>AVERAGE(D74:D75)</f>
        <v>31.651463690772516</v>
      </c>
      <c r="AD75" s="149">
        <f>(AC74-D75)*100/AC74</f>
        <v>3.3475640370439206</v>
      </c>
      <c r="AE75" s="149">
        <v>20</v>
      </c>
      <c r="AF75" s="149">
        <f>IF(AND(AD74&gt;AE74,AD75&gt;AE75,AD76&lt;AE76),1,2)</f>
        <v>2</v>
      </c>
      <c r="AG75" s="149"/>
      <c r="AH75" s="149"/>
      <c r="AI75" s="149"/>
      <c r="AJ75" s="149"/>
      <c r="AK75" s="149"/>
      <c r="AL75" s="149"/>
      <c r="AM75" s="149"/>
      <c r="AN75" s="149"/>
      <c r="AO75" s="149"/>
      <c r="AP75" s="149"/>
      <c r="AQ75" s="149"/>
      <c r="AR75" s="164"/>
      <c r="AS75" s="163"/>
      <c r="AT75" s="149"/>
      <c r="AU75" s="149"/>
      <c r="AV75" s="149"/>
      <c r="AW75" s="164"/>
    </row>
    <row r="76" spans="1:57" s="172" customFormat="1" x14ac:dyDescent="0.25">
      <c r="A76" s="163">
        <f>I36</f>
        <v>29.38051419007007</v>
      </c>
      <c r="B76" s="149">
        <f>C45</f>
        <v>28.400000000000002</v>
      </c>
      <c r="C76" s="149">
        <f>B45</f>
        <v>37.733333333333334</v>
      </c>
      <c r="D76" s="149">
        <f t="shared" si="17"/>
        <v>30.476847357057935</v>
      </c>
      <c r="E76" s="164">
        <f t="shared" si="18"/>
        <v>395.00000000000091</v>
      </c>
      <c r="F76" s="163">
        <f>AVERAGE(B75:B76)</f>
        <v>29.725000000000001</v>
      </c>
      <c r="G76" s="149">
        <f>(F75-B76)*100/F75</f>
        <v>17.019722425127828</v>
      </c>
      <c r="H76" s="149">
        <v>20</v>
      </c>
      <c r="I76" s="149">
        <f>IF(AND(G75&gt;H75,G76&gt;H76,G77&lt;H77),1,2)</f>
        <v>2</v>
      </c>
      <c r="J76" s="165"/>
      <c r="K76" s="165"/>
      <c r="L76" s="165"/>
      <c r="M76" s="165"/>
      <c r="N76" s="165"/>
      <c r="O76" s="165"/>
      <c r="P76" s="165"/>
      <c r="Q76" s="166"/>
      <c r="R76" s="167">
        <f>AVERAGE(C75:C76)</f>
        <v>42.283333333333331</v>
      </c>
      <c r="S76" s="168">
        <f>(R75-C76)*100/R75</f>
        <v>20.42179261862918</v>
      </c>
      <c r="T76" s="168">
        <v>20</v>
      </c>
      <c r="U76" s="168">
        <f>IF(AND(S75&gt;T75,S76&gt;T76,S77&lt;T77),1,2)</f>
        <v>2</v>
      </c>
      <c r="V76" s="168"/>
      <c r="W76" s="168"/>
      <c r="X76" s="168"/>
      <c r="Y76" s="168"/>
      <c r="Z76" s="168"/>
      <c r="AA76" s="168"/>
      <c r="AB76" s="170"/>
      <c r="AC76" s="163">
        <f>AVERAGE(D75:D76)</f>
        <v>30.445173827591205</v>
      </c>
      <c r="AD76" s="149">
        <f>(AC75-D76)*100/AC75</f>
        <v>3.711096413076854</v>
      </c>
      <c r="AE76" s="149">
        <v>20</v>
      </c>
      <c r="AF76" s="149">
        <f>IF(AND(AD75&gt;AE75,AD76&gt;AE76,AD77&lt;AE77),1,2)</f>
        <v>2</v>
      </c>
      <c r="AG76" s="149"/>
      <c r="AH76" s="149"/>
      <c r="AI76" s="149"/>
      <c r="AJ76" s="149"/>
      <c r="AK76" s="149"/>
      <c r="AL76" s="149"/>
      <c r="AM76" s="149"/>
      <c r="AN76" s="149"/>
      <c r="AO76" s="149"/>
      <c r="AP76" s="149"/>
      <c r="AQ76" s="149"/>
      <c r="AR76" s="164"/>
      <c r="AS76" s="163"/>
      <c r="AT76" s="149"/>
      <c r="AU76" s="149"/>
      <c r="AV76" s="149"/>
      <c r="AW76" s="164"/>
    </row>
    <row r="77" spans="1:57" s="172" customFormat="1" x14ac:dyDescent="0.25">
      <c r="A77" s="163">
        <f>I37</f>
        <v>32.741633515543377</v>
      </c>
      <c r="B77" s="149">
        <f>C46</f>
        <v>15.800000000000002</v>
      </c>
      <c r="C77" s="149">
        <f>B46</f>
        <v>28.233333333333334</v>
      </c>
      <c r="D77" s="149">
        <f t="shared" si="17"/>
        <v>29.734925689014489</v>
      </c>
      <c r="E77" s="164">
        <f t="shared" si="18"/>
        <v>334.99999999999642</v>
      </c>
      <c r="F77" s="163">
        <f>AVERAGE(B76:B77)</f>
        <v>22.1</v>
      </c>
      <c r="G77" s="149">
        <f>(F76-B77)*100/F76</f>
        <v>46.846089150546675</v>
      </c>
      <c r="H77" s="149">
        <v>20</v>
      </c>
      <c r="I77" s="149">
        <f>IF(AND(G76&gt;H76,G77&gt;H77,G78&lt;H78),1,2)</f>
        <v>2</v>
      </c>
      <c r="J77" s="165"/>
      <c r="K77" s="165"/>
      <c r="L77" s="165"/>
      <c r="M77" s="165"/>
      <c r="N77" s="165"/>
      <c r="O77" s="165"/>
      <c r="P77" s="165"/>
      <c r="Q77" s="166"/>
      <c r="R77" s="167">
        <f>AVERAGE(C76:C77)</f>
        <v>32.983333333333334</v>
      </c>
      <c r="S77" s="168">
        <f>(R76-C77)*100/R76</f>
        <v>33.22822230981474</v>
      </c>
      <c r="T77" s="168">
        <v>20</v>
      </c>
      <c r="U77" s="168">
        <f>IF(AND(S76&gt;T76,S77&gt;T77,S78&lt;T78),1,2)</f>
        <v>1</v>
      </c>
      <c r="V77" s="168"/>
      <c r="W77" s="168"/>
      <c r="X77" s="168"/>
      <c r="Y77" s="168"/>
      <c r="Z77" s="168"/>
      <c r="AA77" s="168"/>
      <c r="AB77" s="170"/>
      <c r="AC77" s="163">
        <f>AVERAGE(D76:D77)</f>
        <v>30.105886523036212</v>
      </c>
      <c r="AD77" s="149">
        <f>(AC76-D77)*100/AC76</f>
        <v>2.3328759513701569</v>
      </c>
      <c r="AE77" s="149">
        <v>20</v>
      </c>
      <c r="AF77" s="149">
        <f>IF(AND(AD76&gt;AE76,AD77&gt;AE77,AD78&lt;AE78),1,2)</f>
        <v>2</v>
      </c>
      <c r="AG77" s="149"/>
      <c r="AH77" s="149"/>
      <c r="AI77" s="149"/>
      <c r="AJ77" s="149"/>
      <c r="AK77" s="149"/>
      <c r="AL77" s="149"/>
      <c r="AM77" s="149"/>
      <c r="AN77" s="149"/>
      <c r="AO77" s="149"/>
      <c r="AP77" s="149"/>
      <c r="AQ77" s="149"/>
      <c r="AR77" s="164"/>
      <c r="AS77" s="163"/>
      <c r="AT77" s="149"/>
      <c r="AU77" s="149"/>
      <c r="AV77" s="149"/>
      <c r="AW77" s="164"/>
    </row>
    <row r="78" spans="1:57" s="172" customFormat="1" x14ac:dyDescent="0.25">
      <c r="A78" s="163">
        <f t="shared" ref="A78" si="19">I38</f>
        <v>34.901150296083991</v>
      </c>
      <c r="B78" s="149">
        <f>C47</f>
        <v>12</v>
      </c>
      <c r="C78" s="149">
        <f>B47</f>
        <v>28.599999999999998</v>
      </c>
      <c r="D78" s="149">
        <f t="shared" si="17"/>
        <v>29.920060485784063</v>
      </c>
      <c r="E78" s="164">
        <f t="shared" si="18"/>
        <v>385.00000000000199</v>
      </c>
      <c r="F78" s="163">
        <f>AVERAGE(B77:B78)</f>
        <v>13.900000000000002</v>
      </c>
      <c r="G78" s="149">
        <f>(F77-B78)*100/F77</f>
        <v>45.701357466063349</v>
      </c>
      <c r="H78" s="149">
        <v>20</v>
      </c>
      <c r="I78" s="149">
        <f>IF(AND(G77&gt;H77,G78&gt;H78),1,2)</f>
        <v>1</v>
      </c>
      <c r="J78" s="165"/>
      <c r="K78" s="165"/>
      <c r="L78" s="165"/>
      <c r="M78" s="165"/>
      <c r="N78" s="165"/>
      <c r="O78" s="165"/>
      <c r="P78" s="165"/>
      <c r="Q78" s="166"/>
      <c r="R78" s="167">
        <f>AVERAGE(C77:C78)</f>
        <v>28.416666666666664</v>
      </c>
      <c r="S78" s="168">
        <f>(R77-C78)*100/R77</f>
        <v>13.289540171803951</v>
      </c>
      <c r="T78" s="168">
        <v>20</v>
      </c>
      <c r="U78" s="168">
        <f>IF(AND(S77&gt;T77,S78&gt;T78),1,2)</f>
        <v>2</v>
      </c>
      <c r="V78" s="168"/>
      <c r="W78" s="168"/>
      <c r="X78" s="168"/>
      <c r="Y78" s="168"/>
      <c r="Z78" s="168"/>
      <c r="AA78" s="168"/>
      <c r="AB78" s="170"/>
      <c r="AC78" s="163">
        <f>AVERAGE(D77:D78)</f>
        <v>29.827493087399276</v>
      </c>
      <c r="AD78" s="149">
        <f>(AC77-D78)*100/AC77</f>
        <v>0.61724153882649979</v>
      </c>
      <c r="AE78" s="149">
        <v>20</v>
      </c>
      <c r="AF78" s="149">
        <f>IF(AND(AD77&gt;AE77,AD78&gt;AE78),1,2)</f>
        <v>2</v>
      </c>
      <c r="AG78" s="149"/>
      <c r="AH78" s="149"/>
      <c r="AI78" s="149"/>
      <c r="AJ78" s="149"/>
      <c r="AK78" s="149"/>
      <c r="AL78" s="149"/>
      <c r="AM78" s="149"/>
      <c r="AN78" s="149"/>
      <c r="AO78" s="149"/>
      <c r="AP78" s="149"/>
      <c r="AQ78" s="149"/>
      <c r="AR78" s="164"/>
      <c r="AS78" s="163"/>
      <c r="AT78" s="149"/>
      <c r="AU78" s="149"/>
      <c r="AV78" s="149"/>
      <c r="AW78" s="164"/>
    </row>
  </sheetData>
  <mergeCells count="15">
    <mergeCell ref="AC44:AK45"/>
    <mergeCell ref="X49:Z49"/>
    <mergeCell ref="A50:P50"/>
    <mergeCell ref="V54:Z54"/>
    <mergeCell ref="A61:O61"/>
    <mergeCell ref="A31:R31"/>
    <mergeCell ref="A40:M40"/>
    <mergeCell ref="D41:H41"/>
    <mergeCell ref="I41:M41"/>
    <mergeCell ref="U44:AB45"/>
    <mergeCell ref="U5:AK7"/>
    <mergeCell ref="A7:D7"/>
    <mergeCell ref="A17:C17"/>
    <mergeCell ref="A23:C23"/>
    <mergeCell ref="A26:C26"/>
  </mergeCells>
  <conditionalFormatting sqref="X58">
    <cfRule type="cellIs" dxfId="6" priority="2" operator="lessThan">
      <formula>3</formula>
    </cfRule>
    <cfRule type="cellIs" dxfId="5" priority="3" operator="greaterThan">
      <formula>3.9</formula>
    </cfRule>
    <cfRule type="cellIs" dxfId="4" priority="4" operator="between">
      <formula>3</formula>
      <formula>3.9</formula>
    </cfRule>
    <cfRule type="cellIs" dxfId="3" priority="5" operator="between">
      <formula>3</formula>
      <formula>3.9</formula>
    </cfRule>
    <cfRule type="cellIs" dxfId="2" priority="6" operator="between">
      <formula>3.15</formula>
      <formula>3.85</formula>
    </cfRule>
  </conditionalFormatting>
  <conditionalFormatting sqref="X62:Z62">
    <cfRule type="cellIs" dxfId="1" priority="7" operator="greaterThan">
      <formula>812</formula>
    </cfRule>
    <cfRule type="cellIs" dxfId="0" priority="8" operator="lessThan">
      <formula>812</formula>
    </cfRule>
  </conditionalFormatting>
  <printOptions horizontalCentered="1"/>
  <pageMargins left="0.25" right="0.25" top="1.25" bottom="1" header="0.511811023622047" footer="0.511811023622047"/>
  <pageSetup paperSize="9" orientation="portrait" horizontalDpi="300" verticalDpi="300"/>
  <rowBreaks count="4" manualBreakCount="4">
    <brk id="15" max="16383" man="1"/>
    <brk id="18" max="16383" man="1"/>
    <brk id="22" max="16383" man="1"/>
    <brk id="31" max="16383" man="1"/>
  </rowBreaks>
  <colBreaks count="3" manualBreakCount="3">
    <brk id="39" max="1048575" man="1"/>
    <brk id="43" max="1048575" man="1"/>
    <brk id="53" max="1048575"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02_18_2025_Standard_Nam</vt:lpstr>
      <vt:lpstr>03_21_2025</vt:lpstr>
      <vt:lpstr>03_18_2025</vt:lpstr>
      <vt:lpstr>05_28_2020</vt:lpstr>
      <vt:lpstr>05_21_2020</vt:lpstr>
      <vt:lpstr>'05_21_2020'!Print_Area</vt:lpstr>
      <vt:lpstr>'05_28_2020'!Print_Area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Hafiza Khadija Ijaz</dc:creator>
  <dc:description/>
  <cp:lastModifiedBy>Arash Massoudieh</cp:lastModifiedBy>
  <cp:revision>3</cp:revision>
  <dcterms:created xsi:type="dcterms:W3CDTF">2024-03-14T18:07:00Z</dcterms:created>
  <dcterms:modified xsi:type="dcterms:W3CDTF">2025-05-31T14:54:19Z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0x010100912C242DEA52DD4CB83602DBBF46ADCE</vt:lpwstr>
  </property>
</Properties>
</file>