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_28_2024" sheetId="1" state="visible" r:id="rId3"/>
    <sheet name="05_21_2024" sheetId="2" state="visible" r:id="rId4"/>
  </sheets>
  <definedNames>
    <definedName function="false" hidden="false" localSheetId="1" name="_xlnm.Print_Area" vbProcedure="false">05_21_2024!$U$5:$AK$61</definedName>
    <definedName function="false" hidden="false" localSheetId="0" name="_xlnm.Print_Area" vbProcedure="false">05_28_2024!$U$5:$AL$61</definedName>
    <definedName function="false" hidden="true" name="_xleta.AVERAGE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3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D49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  <comment ref="I4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3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D49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  <comment ref="I4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</commentList>
</comments>
</file>

<file path=xl/sharedStrings.xml><?xml version="1.0" encoding="utf-8"?>
<sst xmlns="http://schemas.openxmlformats.org/spreadsheetml/2006/main" count="388" uniqueCount="150">
  <si>
    <t xml:space="preserve">General guidelines:</t>
  </si>
  <si>
    <t xml:space="preserve"> fill in blue cells</t>
  </si>
  <si>
    <t xml:space="preserve">other cells are calculated</t>
  </si>
  <si>
    <t xml:space="preserve">Bench Scale Dewatering test Summary - 05/28/2024</t>
  </si>
  <si>
    <t xml:space="preserve">Plant Data Conversion</t>
  </si>
  <si>
    <t xml:space="preserve">Summary Table</t>
  </si>
  <si>
    <t xml:space="preserve">Belt No.</t>
  </si>
  <si>
    <t xml:space="preserve">A4</t>
  </si>
  <si>
    <t xml:space="preserve">Poly Loading (lb)</t>
  </si>
  <si>
    <t xml:space="preserve">batch testing</t>
  </si>
  <si>
    <t xml:space="preserve">Poly Ratio</t>
  </si>
  <si>
    <t xml:space="preserve">Floc Poly Flow (gpm)</t>
  </si>
  <si>
    <t xml:space="preserve">unit</t>
  </si>
  <si>
    <t xml:space="preserve">Plant</t>
  </si>
  <si>
    <t xml:space="preserve">OPD</t>
  </si>
  <si>
    <t xml:space="preserve">EPD</t>
  </si>
  <si>
    <t xml:space="preserve">Sludge Flow (gpm)</t>
  </si>
  <si>
    <t xml:space="preserve">Poly Floc Flow (mgd)</t>
  </si>
  <si>
    <t xml:space="preserve">BFP TS</t>
  </si>
  <si>
    <t xml:space="preserve">%TS</t>
  </si>
  <si>
    <t xml:space="preserve">Polymer sol. </t>
  </si>
  <si>
    <t xml:space="preserve">Sludge Flow(mgd)</t>
  </si>
  <si>
    <t xml:space="preserve">Polymer ratio setting</t>
  </si>
  <si>
    <t xml:space="preserve">-</t>
  </si>
  <si>
    <t xml:space="preserve">SBT3 TS % LAB_TSPCT_J04</t>
  </si>
  <si>
    <t xml:space="preserve">Calculated BFP TS (%)</t>
  </si>
  <si>
    <t xml:space="preserve">Polymer dose</t>
  </si>
  <si>
    <t xml:space="preserve">lb/tonTS</t>
  </si>
  <si>
    <t xml:space="preserve">BFP TS %</t>
  </si>
  <si>
    <t xml:space="preserve">BFP Sludge Loading (dtpd)</t>
  </si>
  <si>
    <t xml:space="preserve">Cake TS</t>
  </si>
  <si>
    <t xml:space="preserve">DIG SLDG FLOW  FROM SBT (gpm)</t>
  </si>
  <si>
    <t xml:space="preserve">Plant Polydose (Ib/ton) - method 1</t>
  </si>
  <si>
    <t xml:space="preserve">Filtrate TSS</t>
  </si>
  <si>
    <t xml:space="preserve">mg TSS/L</t>
  </si>
  <si>
    <t xml:space="preserve">DIL WTR FLOW TO BFP (gpm)</t>
  </si>
  <si>
    <t xml:space="preserve">Plant Polydose (Ib/ton) - method 2</t>
  </si>
  <si>
    <t xml:space="preserve">Assumptions and Constants: </t>
  </si>
  <si>
    <t xml:space="preserve">1 g =</t>
  </si>
  <si>
    <t xml:space="preserve">lb</t>
  </si>
  <si>
    <t xml:space="preserve">ton</t>
  </si>
  <si>
    <t xml:space="preserve">Cup Diameter</t>
  </si>
  <si>
    <t xml:space="preserve">inches</t>
  </si>
  <si>
    <t xml:space="preserve">Cup Area: </t>
  </si>
  <si>
    <r>
      <rPr>
        <sz val="12"/>
        <color theme="1"/>
        <rFont val="Aptos Narrow"/>
        <family val="2"/>
        <charset val="1"/>
      </rPr>
      <t xml:space="preserve">m</t>
    </r>
    <r>
      <rPr>
        <vertAlign val="superscript"/>
        <sz val="12"/>
        <color theme="1"/>
        <rFont val="Aptos Narrow"/>
        <family val="2"/>
        <charset val="1"/>
      </rPr>
      <t xml:space="preserve">2</t>
    </r>
  </si>
  <si>
    <r>
      <rPr>
        <sz val="12"/>
        <color theme="1"/>
        <rFont val="Aptos Narrow"/>
        <family val="2"/>
        <charset val="1"/>
      </rPr>
      <t xml:space="preserve">Aiming for 0.80 kg of DS per m</t>
    </r>
    <r>
      <rPr>
        <vertAlign val="superscript"/>
        <sz val="12"/>
        <color theme="1"/>
        <rFont val="Aptos Narrow"/>
        <family val="2"/>
        <charset val="1"/>
      </rPr>
      <t xml:space="preserve">2</t>
    </r>
    <r>
      <rPr>
        <sz val="12"/>
        <color theme="1"/>
        <rFont val="Aptos Narrow"/>
        <family val="2"/>
        <charset val="1"/>
      </rPr>
      <t xml:space="preserve"> of cup area</t>
    </r>
  </si>
  <si>
    <t xml:space="preserve">Cup Loading</t>
  </si>
  <si>
    <t xml:space="preserve">grams of DS</t>
  </si>
  <si>
    <t xml:space="preserve">Assuming</t>
  </si>
  <si>
    <t xml:space="preserve">TS in sludge</t>
  </si>
  <si>
    <t xml:space="preserve">Assuming 100% Capture in free drainage</t>
  </si>
  <si>
    <t xml:space="preserve">Polymer Solution</t>
  </si>
  <si>
    <t xml:space="preserve">Plains Target DS</t>
  </si>
  <si>
    <t xml:space="preserve">4 to 7</t>
  </si>
  <si>
    <t xml:space="preserve">kg DS/m</t>
  </si>
  <si>
    <t xml:space="preserve">Calculation</t>
  </si>
  <si>
    <t xml:space="preserve">Sample #</t>
  </si>
  <si>
    <t xml:space="preserve">Polymer Dose
 (lb polymer/
ton sludge)</t>
  </si>
  <si>
    <t xml:space="preserve">Actual Belt Filter Press before PD TS (%)</t>
  </si>
  <si>
    <t xml:space="preserve">Sludge Weight
 (g)</t>
  </si>
  <si>
    <t xml:space="preserve">Calculation Polymer Added(g)</t>
  </si>
  <si>
    <t xml:space="preserve">Polymer Before (g)</t>
  </si>
  <si>
    <t xml:space="preserve">Poymer after
(g)</t>
  </si>
  <si>
    <t xml:space="preserve">Actual Polymer Added (g)</t>
  </si>
  <si>
    <t xml:space="preserve">Actual Polymer Added (lb/ton)</t>
  </si>
  <si>
    <t xml:space="preserve">Sieve 
Weight (g)</t>
  </si>
  <si>
    <t xml:space="preserve">Bucket Weight (g)</t>
  </si>
  <si>
    <t xml:space="preserve">Sieve + Wet Solids Weight (g)</t>
  </si>
  <si>
    <t xml:space="preserve">Bucket + Filtrate (g)</t>
  </si>
  <si>
    <t xml:space="preserve">Capture Efficiency (%)</t>
  </si>
  <si>
    <t xml:space="preserve">Filtered Solids (g)</t>
  </si>
  <si>
    <t xml:space="preserve">Filtrate (g)</t>
  </si>
  <si>
    <t xml:space="preserve">Estimated TS% of Wet Solids on frabic</t>
  </si>
  <si>
    <t xml:space="preserve">Target WS in Cup (g)</t>
  </si>
  <si>
    <t xml:space="preserve">CST Table</t>
  </si>
  <si>
    <t xml:space="preserve">CST  Sludge (Avrg)</t>
  </si>
  <si>
    <t xml:space="preserve">CST  Supernatant (Avrg)</t>
  </si>
  <si>
    <t xml:space="preserve">CST Sludge </t>
  </si>
  <si>
    <t xml:space="preserve">CST Supernatant</t>
  </si>
  <si>
    <t xml:space="preserve">Summary - 05 - 03 - 2024</t>
  </si>
  <si>
    <t xml:space="preserve">Trend over time</t>
  </si>
  <si>
    <t xml:space="preserve">Target table</t>
  </si>
  <si>
    <t xml:space="preserve">TSS - VSS</t>
  </si>
  <si>
    <t xml:space="preserve">Filtrate TS</t>
  </si>
  <si>
    <t xml:space="preserve">Sample ID/#</t>
  </si>
  <si>
    <t xml:space="preserve">Foil Tray+Filter Weight (g ) #1</t>
  </si>
  <si>
    <t xml:space="preserve">Foil Tray+Filter Weight (g ) #2</t>
  </si>
  <si>
    <t xml:space="preserve">Sample Volume (ml) #1</t>
  </si>
  <si>
    <t xml:space="preserve">Sample Volume (ml) #2</t>
  </si>
  <si>
    <t xml:space="preserve">After 103 °C #1</t>
  </si>
  <si>
    <t xml:space="preserve">After 103 °C #2</t>
  </si>
  <si>
    <t xml:space="preserve">Dilution Factor</t>
  </si>
  <si>
    <t xml:space="preserve">TSS-1</t>
  </si>
  <si>
    <t xml:space="preserve">TSS-2</t>
  </si>
  <si>
    <t xml:space="preserve">TSS (g TSS/L)</t>
  </si>
  <si>
    <t xml:space="preserve">After 550 °C #1</t>
  </si>
  <si>
    <t xml:space="preserve">After 550 °C #2</t>
  </si>
  <si>
    <t xml:space="preserve">VSS-1 (%)</t>
  </si>
  <si>
    <t xml:space="preserve">VSS-2 (%)</t>
  </si>
  <si>
    <t xml:space="preserve">VSS (%)</t>
  </si>
  <si>
    <t xml:space="preserve">Unit</t>
  </si>
  <si>
    <t xml:space="preserve">%</t>
  </si>
  <si>
    <t xml:space="preserve">3 - 3.9</t>
  </si>
  <si>
    <t xml:space="preserve">&lt;= 812</t>
  </si>
  <si>
    <t xml:space="preserve">Plant Filterate</t>
  </si>
  <si>
    <t xml:space="preserve">.</t>
  </si>
  <si>
    <t xml:space="preserve">vol/vol</t>
  </si>
  <si>
    <t xml:space="preserve">TS - VS</t>
  </si>
  <si>
    <t xml:space="preserve">Foil Tray  (g) #1</t>
  </si>
  <si>
    <t xml:space="preserve">Foil Tray (g) #2</t>
  </si>
  <si>
    <t xml:space="preserve">Tray +Sample (g) #1</t>
  </si>
  <si>
    <t xml:space="preserve">Tray + Sample (g) #2</t>
  </si>
  <si>
    <t xml:space="preserve">TS-1 (%)</t>
  </si>
  <si>
    <t xml:space="preserve">TS-2 (%)</t>
  </si>
  <si>
    <t xml:space="preserve">TS (%)</t>
  </si>
  <si>
    <t xml:space="preserve">VS-1 (%)</t>
  </si>
  <si>
    <t xml:space="preserve">VS-2 (%)</t>
  </si>
  <si>
    <t xml:space="preserve">VS (%)</t>
  </si>
  <si>
    <t xml:space="preserve">Plant Cake</t>
  </si>
  <si>
    <t xml:space="preserve">Sludge</t>
  </si>
  <si>
    <t xml:space="preserve">CST Supernatant (second)</t>
  </si>
  <si>
    <t xml:space="preserve">CST Sludge
(second)</t>
  </si>
  <si>
    <t xml:space="preserve">Lab Cake TS
(%)</t>
  </si>
  <si>
    <t xml:space="preserve">Lab Filtrate TSS
(mg TSS/L)</t>
  </si>
  <si>
    <t xml:space="preserve">Ave</t>
  </si>
  <si>
    <t xml:space="preserve">Diff</t>
  </si>
  <si>
    <t xml:space="preserve">Tolerance
(%)</t>
  </si>
  <si>
    <t xml:space="preserve">1 or 2</t>
  </si>
  <si>
    <t xml:space="preserve">OPD
(lb/ton)</t>
  </si>
  <si>
    <t xml:space="preserve">OPD Cake TS
(%)</t>
  </si>
  <si>
    <t xml:space="preserve">OPD Filtrate TSS
(mg TSS/L)</t>
  </si>
  <si>
    <t xml:space="preserve">Manual check</t>
  </si>
  <si>
    <t xml:space="preserve">Note:
Based on Supernatant</t>
  </si>
  <si>
    <t xml:space="preserve">Note:
Based on Sludge</t>
  </si>
  <si>
    <t xml:space="preserve">EOPD Checked with Cake TS
(lb/ton)</t>
  </si>
  <si>
    <t xml:space="preserve">EOPD Cake TS
(%)</t>
  </si>
  <si>
    <t xml:space="preserve">EOPD Filtrate TSS
(mg TSS/L)</t>
  </si>
  <si>
    <t xml:space="preserve">Target
 Fiftrate TSS
(mg TSS/L)</t>
  </si>
  <si>
    <t xml:space="preserve">EOPD checked with Filtrate TSS 
(lb/ton)</t>
  </si>
  <si>
    <t xml:space="preserve">Check filtrate condition</t>
  </si>
  <si>
    <t xml:space="preserve">1 or 2
</t>
  </si>
  <si>
    <t xml:space="preserve">Manual check (yes/No)</t>
  </si>
  <si>
    <t xml:space="preserve">Note</t>
  </si>
  <si>
    <t xml:space="preserve">Grab Plant PD
(lb/Ton)</t>
  </si>
  <si>
    <t xml:space="preserve">Plant Cake TS
(%)</t>
  </si>
  <si>
    <t xml:space="preserve">Plant Filtrate
(mg TSS/L)</t>
  </si>
  <si>
    <t xml:space="preserve">Lab DW Feed TS (%)</t>
  </si>
  <si>
    <t xml:space="preserve">yes</t>
  </si>
  <si>
    <t xml:space="preserve">Bench Scale Dewatering test Summary - 05/21/2024</t>
  </si>
  <si>
    <t xml:space="preserve">A3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</si>
</sst>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0%"/>
    <numFmt numFmtId="167" formatCode="0.0"/>
    <numFmt numFmtId="168" formatCode="0.00"/>
    <numFmt numFmtId="169" formatCode="0.000"/>
    <numFmt numFmtId="170" formatCode="0.0000"/>
    <numFmt numFmtId="171" formatCode="General"/>
    <numFmt numFmtId="172" formatCode="0.00E+00"/>
    <numFmt numFmtId="173" formatCode="#,##0.0000"/>
    <numFmt numFmtId="174" formatCode="0"/>
  </numFmts>
  <fonts count="3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theme="1"/>
      <name val="Aptos Narrow"/>
      <family val="2"/>
      <charset val="1"/>
    </font>
    <font>
      <sz val="10"/>
      <color rgb="FF000000"/>
      <name val="Arial"/>
      <family val="2"/>
      <charset val="1"/>
    </font>
    <font>
      <i val="true"/>
      <sz val="12"/>
      <color theme="1"/>
      <name val="Aptos Narrow"/>
      <family val="2"/>
      <charset val="1"/>
    </font>
    <font>
      <b val="true"/>
      <sz val="26"/>
      <color theme="1"/>
      <name val="Aptos Narrow"/>
      <family val="2"/>
      <charset val="1"/>
    </font>
    <font>
      <b val="true"/>
      <sz val="12"/>
      <color theme="0"/>
      <name val="Aptos Narrow"/>
      <family val="2"/>
      <charset val="1"/>
    </font>
    <font>
      <sz val="12"/>
      <name val="Calibri"/>
      <family val="2"/>
      <charset val="1"/>
    </font>
    <font>
      <sz val="11"/>
      <color rgb="FF000000"/>
      <name val="Aptos Narrow"/>
      <family val="2"/>
      <charset val="1"/>
    </font>
    <font>
      <sz val="12"/>
      <color theme="4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2"/>
      <name val="Aptos Narrow"/>
      <family val="2"/>
      <charset val="1"/>
    </font>
    <font>
      <b val="true"/>
      <sz val="18"/>
      <color theme="1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vertAlign val="superscript"/>
      <sz val="12"/>
      <color theme="1"/>
      <name val="Aptos Narrow"/>
      <family val="2"/>
      <charset val="1"/>
    </font>
    <font>
      <b val="true"/>
      <sz val="14"/>
      <color theme="1"/>
      <name val="Aptos Narrow"/>
      <family val="2"/>
      <charset val="1"/>
    </font>
    <font>
      <sz val="12"/>
      <name val="Times New Roman"/>
      <family val="1"/>
      <charset val="1"/>
    </font>
    <font>
      <sz val="12"/>
      <color rgb="FF000000"/>
      <name val="Aptos Narrow"/>
      <family val="2"/>
      <charset val="1"/>
    </font>
    <font>
      <sz val="12"/>
      <color rgb="FFFF0000"/>
      <name val="Aptos Narrow"/>
      <family val="2"/>
      <charset val="1"/>
    </font>
    <font>
      <b val="true"/>
      <sz val="12"/>
      <color rgb="FFFF0000"/>
      <name val="Times New Roman"/>
      <family val="1"/>
      <charset val="1"/>
    </font>
    <font>
      <b val="true"/>
      <sz val="12"/>
      <name val="Aptos Narrow"/>
      <family val="2"/>
      <charset val="1"/>
    </font>
    <font>
      <b val="true"/>
      <sz val="12"/>
      <color rgb="FF000000"/>
      <name val="Aptos Narrow"/>
      <family val="2"/>
      <charset val="1"/>
    </font>
    <font>
      <i val="true"/>
      <sz val="11"/>
      <color theme="1"/>
      <name val="Aptos Narrow"/>
      <family val="2"/>
      <charset val="1"/>
    </font>
    <font>
      <b val="true"/>
      <sz val="12"/>
      <color theme="1"/>
      <name val="Times New Roman"/>
      <family val="1"/>
      <charset val="1"/>
    </font>
    <font>
      <b val="true"/>
      <sz val="12"/>
      <color theme="5" tint="-0.25"/>
      <name val="Aptos Narrow"/>
      <family val="2"/>
      <charset val="1"/>
    </font>
    <font>
      <sz val="10"/>
      <name val="Arial"/>
      <family val="2"/>
    </font>
    <font>
      <b val="true"/>
      <sz val="18"/>
      <color rgb="FF000000"/>
      <name val="Aptos Narrow"/>
      <family val="2"/>
    </font>
    <font>
      <b val="true"/>
      <sz val="16"/>
      <color rgb="FF000000"/>
      <name val="Aptos Narrow"/>
      <family val="2"/>
    </font>
    <font>
      <sz val="18"/>
      <color rgb="FF000000"/>
      <name val="Aptos Narrow"/>
      <family val="2"/>
    </font>
    <font>
      <sz val="10"/>
      <color rgb="FF000000"/>
      <name val="Aptos Narrow"/>
      <family val="2"/>
    </font>
    <font>
      <b val="true"/>
      <sz val="16"/>
      <color rgb="FF000000"/>
      <name val="Aptos Narrow"/>
      <family val="0"/>
    </font>
    <font>
      <sz val="14"/>
      <color rgb="FF000000"/>
      <name val="Aptos Narrow"/>
      <family val="2"/>
    </font>
    <font>
      <sz val="9"/>
      <color rgb="FF000000"/>
      <name val="Aptos Narrow"/>
      <family val="2"/>
    </font>
    <font>
      <sz val="9"/>
      <color rgb="FF595959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1"/>
        <bgColor rgb="FFD9D9D9"/>
      </patternFill>
    </fill>
    <fill>
      <patternFill patternType="solid">
        <fgColor theme="9" tint="0.3999"/>
        <bgColor rgb="FF83CBEB"/>
      </patternFill>
    </fill>
    <fill>
      <patternFill patternType="solid">
        <fgColor theme="4" tint="0.5999"/>
        <bgColor rgb="FF96DCF8"/>
      </patternFill>
    </fill>
    <fill>
      <patternFill patternType="solid">
        <fgColor theme="4"/>
        <bgColor rgb="FF0B76A0"/>
      </patternFill>
    </fill>
    <fill>
      <patternFill patternType="solid">
        <fgColor theme="0"/>
        <bgColor rgb="FFFDEADA"/>
      </patternFill>
    </fill>
    <fill>
      <patternFill patternType="solid">
        <fgColor rgb="FFEC79FF"/>
        <bgColor rgb="FFFF8080"/>
      </patternFill>
    </fill>
    <fill>
      <patternFill patternType="solid">
        <fgColor rgb="FFFDEADA"/>
        <bgColor rgb="FFFBE3D6"/>
      </patternFill>
    </fill>
    <fill>
      <patternFill patternType="solid">
        <fgColor theme="7" tint="0.5999"/>
        <bgColor rgb="FF83CBEB"/>
      </patternFill>
    </fill>
    <fill>
      <patternFill patternType="solid">
        <fgColor theme="3" tint="0.8999"/>
        <bgColor rgb="FFD9D9D9"/>
      </patternFill>
    </fill>
    <fill>
      <patternFill patternType="solid">
        <fgColor rgb="FF31FFFA"/>
        <bgColor rgb="FF00FFFF"/>
      </patternFill>
    </fill>
    <fill>
      <patternFill patternType="solid">
        <fgColor rgb="FFFF9831"/>
        <bgColor rgb="FFF2AA84"/>
      </patternFill>
    </fill>
    <fill>
      <patternFill patternType="solid">
        <fgColor theme="5" tint="0.7999"/>
        <bgColor rgb="FFFDEADA"/>
      </patternFill>
    </fill>
    <fill>
      <patternFill patternType="solid">
        <fgColor theme="5" tint="0.3999"/>
        <bgColor rgb="FFFF9831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medium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6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1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8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0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9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9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9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4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6" fillId="0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3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3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14" borderId="3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14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4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4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4" borderId="4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14" borderId="3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0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7" fillId="3" borderId="3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1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6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3" xfId="22"/>
    <cellStyle name="Normal_GT" xfId="23"/>
    <cellStyle name="Normal_WestPrimary" xfId="24"/>
    <cellStyle name="Percent 2" xfId="25"/>
    <cellStyle name="Pivot Table Category" xfId="26"/>
    <cellStyle name="Pivot Table Corner" xfId="27"/>
    <cellStyle name="Pivot Table Field" xfId="28"/>
    <cellStyle name="Pivot Table Value" xfId="29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1FFFA"/>
      <rgbColor rgb="FF9C0006"/>
      <rgbColor rgb="FF006100"/>
      <rgbColor rgb="FF000080"/>
      <rgbColor rgb="FF808000"/>
      <rgbColor rgb="FF800080"/>
      <rgbColor rgb="FF0B76A0"/>
      <rgbColor rgb="FFBFBFBF"/>
      <rgbColor rgb="FF8B8B8B"/>
      <rgbColor rgb="FF83CBEB"/>
      <rgbColor rgb="FF993366"/>
      <rgbColor rgb="FFFDEADA"/>
      <rgbColor rgb="FFDCEAF7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0CCFF"/>
      <rgbColor rgb="FFD9D9D9"/>
      <rgbColor rgb="FFC6EFCE"/>
      <rgbColor rgb="FFFBE3D6"/>
      <rgbColor rgb="FF96DCF8"/>
      <rgbColor rgb="FFF2AA84"/>
      <rgbColor rgb="FFEC79FF"/>
      <rgbColor rgb="FFFFC7CE"/>
      <rgbColor rgb="FF3366FF"/>
      <rgbColor rgb="FF33CCCC"/>
      <rgbColor rgb="FF8ED973"/>
      <rgbColor rgb="FFFFCC00"/>
      <rgbColor rgb="FFFF9831"/>
      <rgbColor rgb="FFE97132"/>
      <rgbColor rgb="FF595959"/>
      <rgbColor rgb="FF969696"/>
      <rgbColor rgb="FF003366"/>
      <rgbColor rgb="FF196B24"/>
      <rgbColor rgb="FF003300"/>
      <rgbColor rgb="FF333300"/>
      <rgbColor rgb="FFC04F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Aptos Narrow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Aptos Narrow"/>
              </a:rPr>
              <a:t>Bench Scale DW - 05_28_2024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7251828420607"/>
          <c:y val="0.118480665894005"/>
          <c:w val="0.835835029113695"/>
          <c:h val="0.721314929933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05_28_2024!$K$49:$K$49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solidFill>
              <a:srgbClr val="0b76a0"/>
            </a:solidFill>
            <a:ln cap="rnd" w="28440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05_28_2024!$I$33:$I$38</c:f>
              <c:numCache>
                <c:formatCode>0.00</c:formatCode>
                <c:ptCount val="6"/>
                <c:pt idx="0">
                  <c:v>17.0130856044148</c:v>
                </c:pt>
                <c:pt idx="1">
                  <c:v>18.7365549614384</c:v>
                </c:pt>
                <c:pt idx="2">
                  <c:v>21.4150132286581</c:v>
                </c:pt>
                <c:pt idx="3">
                  <c:v>23.8996597132248</c:v>
                </c:pt>
                <c:pt idx="4">
                  <c:v>26.6031286651348</c:v>
                </c:pt>
                <c:pt idx="5">
                  <c:v>29.1397097654582</c:v>
                </c:pt>
              </c:numCache>
            </c:numRef>
          </c:xVal>
          <c:yVal>
            <c:numRef>
              <c:f>05_28_2024!$K$50:$K$55</c:f>
              <c:numCache>
                <c:formatCode>0.00</c:formatCode>
                <c:ptCount val="6"/>
                <c:pt idx="0">
                  <c:v>1.19</c:v>
                </c:pt>
                <c:pt idx="1">
                  <c:v>1.14500000000001</c:v>
                </c:pt>
                <c:pt idx="2">
                  <c:v>0.984999999999991</c:v>
                </c:pt>
                <c:pt idx="3">
                  <c:v>0.705000000000011</c:v>
                </c:pt>
                <c:pt idx="4">
                  <c:v>0.81</c:v>
                </c:pt>
                <c:pt idx="5">
                  <c:v>0.424999999999998</c:v>
                </c:pt>
              </c:numCache>
            </c:numRef>
          </c:yVal>
          <c:smooth val="0"/>
        </c:ser>
        <c:axId val="78684606"/>
        <c:axId val="29710119"/>
      </c:scatterChart>
      <c:scatterChart>
        <c:scatterStyle val="lineMarker"/>
        <c:varyColors val="0"/>
        <c:ser>
          <c:idx val="1"/>
          <c:order val="1"/>
          <c:tx>
            <c:strRef>
              <c:f>05_28_2024!$J$60:$J$60</c:f>
              <c:strCache>
                <c:ptCount val="1"/>
                <c:pt idx="0">
                  <c:v>TS (%)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05_28_2024!$I$33:$I$38</c:f>
              <c:numCache>
                <c:formatCode>0.00</c:formatCode>
                <c:ptCount val="6"/>
                <c:pt idx="0">
                  <c:v>17.0130856044148</c:v>
                </c:pt>
                <c:pt idx="1">
                  <c:v>18.7365549614384</c:v>
                </c:pt>
                <c:pt idx="2">
                  <c:v>21.4150132286581</c:v>
                </c:pt>
                <c:pt idx="3">
                  <c:v>23.8996597132248</c:v>
                </c:pt>
                <c:pt idx="4">
                  <c:v>26.6031286651348</c:v>
                </c:pt>
                <c:pt idx="5">
                  <c:v>29.1397097654582</c:v>
                </c:pt>
              </c:numCache>
            </c:numRef>
          </c:xVal>
          <c:yVal>
            <c:numRef>
              <c:f>05_28_2024!$J$61:$J$66</c:f>
              <c:numCache>
                <c:formatCode>0.00</c:formatCode>
                <c:ptCount val="6"/>
                <c:pt idx="0">
                  <c:v>29.5988986785574</c:v>
                </c:pt>
                <c:pt idx="1">
                  <c:v>28.3555775401328</c:v>
                </c:pt>
                <c:pt idx="2">
                  <c:v>28.6886978957664</c:v>
                </c:pt>
                <c:pt idx="3">
                  <c:v>29.747240591983</c:v>
                </c:pt>
                <c:pt idx="4">
                  <c:v>26.0874288997117</c:v>
                </c:pt>
                <c:pt idx="5">
                  <c:v>29.540313345138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05_28_2024!$B$40:$B$40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solidFill>
              <a:srgbClr val="196b24"/>
            </a:solidFill>
            <a:ln cap="rnd" w="19080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05_28_2024!$I$33:$I$38</c:f>
              <c:numCache>
                <c:formatCode>0.00</c:formatCode>
                <c:ptCount val="6"/>
                <c:pt idx="0">
                  <c:v>17.0130856044148</c:v>
                </c:pt>
                <c:pt idx="1">
                  <c:v>18.7365549614384</c:v>
                </c:pt>
                <c:pt idx="2">
                  <c:v>21.4150132286581</c:v>
                </c:pt>
                <c:pt idx="3">
                  <c:v>23.8996597132248</c:v>
                </c:pt>
                <c:pt idx="4">
                  <c:v>26.6031286651348</c:v>
                </c:pt>
                <c:pt idx="5">
                  <c:v>29.1397097654582</c:v>
                </c:pt>
              </c:numCache>
            </c:numRef>
          </c:xVal>
          <c:yVal>
            <c:numRef>
              <c:f>05_28_2024!$B$41:$B$46</c:f>
              <c:numCache>
                <c:formatCode>0.00</c:formatCode>
                <c:ptCount val="6"/>
                <c:pt idx="0">
                  <c:v>121.6</c:v>
                </c:pt>
                <c:pt idx="1">
                  <c:v>114.433333333333</c:v>
                </c:pt>
                <c:pt idx="2">
                  <c:v>55.6</c:v>
                </c:pt>
                <c:pt idx="3">
                  <c:v>49.2</c:v>
                </c:pt>
                <c:pt idx="4">
                  <c:v>40.55</c:v>
                </c:pt>
                <c:pt idx="5">
                  <c:v>39.8333333333333</c:v>
                </c:pt>
              </c:numCache>
            </c:numRef>
          </c:yVal>
          <c:smooth val="0"/>
        </c:ser>
        <c:axId val="75485992"/>
        <c:axId val="36738082"/>
      </c:scatterChart>
      <c:valAx>
        <c:axId val="78684606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29710119"/>
        <c:crosses val="autoZero"/>
        <c:crossBetween val="midCat"/>
      </c:valAx>
      <c:valAx>
        <c:axId val="29710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78684606"/>
        <c:crosses val="autoZero"/>
        <c:crossBetween val="midCat"/>
      </c:valAx>
      <c:valAx>
        <c:axId val="75485992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36738082"/>
        <c:crossBetween val="midCat"/>
      </c:valAx>
      <c:valAx>
        <c:axId val="36738082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75485992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"/>
          <c:y val="0.950211197098125"/>
          <c:w val="0.34972996804747"/>
          <c:h val="0.04978880290187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05_28_2024!$H$2:$H$2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05_28_2024!$B$107:$B$110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05_28_2024!$H$107:$H$110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05_28_2024!$K$2:$K$2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05_28_2024!$B$107:$B$110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05_28_2024!$K$107:$K$110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05_28_2024!$E$2:$E$2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05_28_2024!$B$107:$B$110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05_28_2024!$E$107:$E$110</c:f>
              <c:numCache>
                <c:formatCode>General</c:formatCode>
                <c:ptCount val="4"/>
              </c:numCache>
            </c:numRef>
          </c:val>
        </c:ser>
        <c:gapWidth val="150"/>
        <c:overlap val="0"/>
        <c:axId val="76131042"/>
        <c:axId val="20938087"/>
      </c:barChart>
      <c:catAx>
        <c:axId val="76131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20938087"/>
        <c:crosses val="autoZero"/>
        <c:auto val="1"/>
        <c:lblAlgn val="ctr"/>
        <c:lblOffset val="100"/>
        <c:noMultiLvlLbl val="0"/>
      </c:catAx>
      <c:valAx>
        <c:axId val="20938087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131042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Aptos Narrow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Aptos Narrow"/>
              </a:rPr>
              <a:t>Bench Scale DW - 05_21_2024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7184655949647"/>
          <c:y val="0.118476430976431"/>
          <c:w val="0.835821212894446"/>
          <c:h val="0.721327861952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05_21_2024!$K$49:$K$49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solidFill>
              <a:srgbClr val="0b76a0"/>
            </a:solidFill>
            <a:ln cap="rnd" w="28440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05_21_2024!$I$33:$I$38</c:f>
              <c:numCache>
                <c:formatCode>0.00</c:formatCode>
                <c:ptCount val="6"/>
                <c:pt idx="0">
                  <c:v>20.0077229128743</c:v>
                </c:pt>
                <c:pt idx="1">
                  <c:v>23.6204711086333</c:v>
                </c:pt>
                <c:pt idx="2">
                  <c:v>27.2586182485171</c:v>
                </c:pt>
                <c:pt idx="3">
                  <c:v>29.3805141900701</c:v>
                </c:pt>
                <c:pt idx="4">
                  <c:v>32.7416335155434</c:v>
                </c:pt>
                <c:pt idx="5">
                  <c:v>34.901150296084</c:v>
                </c:pt>
              </c:numCache>
            </c:numRef>
          </c:xVal>
          <c:yVal>
            <c:numRef>
              <c:f>05_21_2024!$K$50:$K$55</c:f>
              <c:numCache>
                <c:formatCode>0.00</c:formatCode>
                <c:ptCount val="6"/>
                <c:pt idx="0">
                  <c:v>1.04000000000001</c:v>
                </c:pt>
                <c:pt idx="1">
                  <c:v>0.834999999999997</c:v>
                </c:pt>
                <c:pt idx="2">
                  <c:v>0.759999999999994</c:v>
                </c:pt>
                <c:pt idx="3">
                  <c:v>0.395000000000001</c:v>
                </c:pt>
                <c:pt idx="4">
                  <c:v>0.334999999999996</c:v>
                </c:pt>
                <c:pt idx="5">
                  <c:v>0.385000000000002</c:v>
                </c:pt>
              </c:numCache>
            </c:numRef>
          </c:yVal>
          <c:smooth val="0"/>
        </c:ser>
        <c:axId val="57714369"/>
        <c:axId val="82017123"/>
      </c:scatterChart>
      <c:scatterChart>
        <c:scatterStyle val="lineMarker"/>
        <c:varyColors val="0"/>
        <c:ser>
          <c:idx val="1"/>
          <c:order val="1"/>
          <c:tx>
            <c:strRef>
              <c:f>05_21_2024!$J$60:$J$60</c:f>
              <c:strCache>
                <c:ptCount val="1"/>
                <c:pt idx="0">
                  <c:v>TS (%)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05_21_2024!$I$33:$I$38</c:f>
              <c:numCache>
                <c:formatCode>0.00</c:formatCode>
                <c:ptCount val="6"/>
                <c:pt idx="0">
                  <c:v>20.0077229128743</c:v>
                </c:pt>
                <c:pt idx="1">
                  <c:v>23.6204711086333</c:v>
                </c:pt>
                <c:pt idx="2">
                  <c:v>27.2586182485171</c:v>
                </c:pt>
                <c:pt idx="3">
                  <c:v>29.3805141900701</c:v>
                </c:pt>
                <c:pt idx="4">
                  <c:v>32.7416335155434</c:v>
                </c:pt>
                <c:pt idx="5">
                  <c:v>34.901150296084</c:v>
                </c:pt>
              </c:numCache>
            </c:numRef>
          </c:xVal>
          <c:yVal>
            <c:numRef>
              <c:f>05_21_2024!$J$61:$J$66</c:f>
              <c:numCache>
                <c:formatCode>0.00</c:formatCode>
                <c:ptCount val="6"/>
                <c:pt idx="0">
                  <c:v>30.0443210319007</c:v>
                </c:pt>
                <c:pt idx="1">
                  <c:v>32.8894270834206</c:v>
                </c:pt>
                <c:pt idx="2">
                  <c:v>30.4135002981245</c:v>
                </c:pt>
                <c:pt idx="3">
                  <c:v>30.4768473570579</c:v>
                </c:pt>
                <c:pt idx="4">
                  <c:v>29.7349256890145</c:v>
                </c:pt>
                <c:pt idx="5">
                  <c:v>29.9200604857841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05_21_2024!$B$40:$B$40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solidFill>
              <a:srgbClr val="196b24"/>
            </a:solidFill>
            <a:ln cap="rnd" w="19080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05_21_2024!$I$33:$I$38</c:f>
              <c:numCache>
                <c:formatCode>0.00</c:formatCode>
                <c:ptCount val="6"/>
                <c:pt idx="0">
                  <c:v>20.0077229128743</c:v>
                </c:pt>
                <c:pt idx="1">
                  <c:v>23.6204711086333</c:v>
                </c:pt>
                <c:pt idx="2">
                  <c:v>27.2586182485171</c:v>
                </c:pt>
                <c:pt idx="3">
                  <c:v>29.3805141900701</c:v>
                </c:pt>
                <c:pt idx="4">
                  <c:v>32.7416335155434</c:v>
                </c:pt>
                <c:pt idx="5">
                  <c:v>34.901150296084</c:v>
                </c:pt>
              </c:numCache>
            </c:numRef>
          </c:xVal>
          <c:yVal>
            <c:numRef>
              <c:f>05_21_2024!$B$41:$B$46</c:f>
              <c:numCache>
                <c:formatCode>0.00</c:formatCode>
                <c:ptCount val="6"/>
                <c:pt idx="0">
                  <c:v>73.2333333333333</c:v>
                </c:pt>
                <c:pt idx="1">
                  <c:v>48</c:v>
                </c:pt>
                <c:pt idx="2">
                  <c:v>46.8333333333333</c:v>
                </c:pt>
                <c:pt idx="3">
                  <c:v>37.7333333333333</c:v>
                </c:pt>
                <c:pt idx="4">
                  <c:v>28.2333333333333</c:v>
                </c:pt>
                <c:pt idx="5">
                  <c:v>28.6</c:v>
                </c:pt>
              </c:numCache>
            </c:numRef>
          </c:yVal>
          <c:smooth val="0"/>
        </c:ser>
        <c:axId val="5160931"/>
        <c:axId val="27187249"/>
      </c:scatterChart>
      <c:valAx>
        <c:axId val="57714369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82017123"/>
        <c:crosses val="autoZero"/>
        <c:crossBetween val="midCat"/>
      </c:valAx>
      <c:valAx>
        <c:axId val="820171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57714369"/>
        <c:crosses val="autoZero"/>
        <c:crossBetween val="midCat"/>
      </c:valAx>
      <c:valAx>
        <c:axId val="5160931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27187249"/>
        <c:crossBetween val="midCat"/>
      </c:valAx>
      <c:valAx>
        <c:axId val="27187249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lang="en-US" sz="1800" spc="-1" strike="noStrike">
                    <a:solidFill>
                      <a:srgbClr val="000000"/>
                    </a:solidFill>
                    <a:latin typeface="Aptos Narrow"/>
                  </a:defRPr>
                </a:pPr>
                <a:r>
                  <a:rPr b="1" lang="en-US" sz="1800" spc="-1" strike="noStrike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5160931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"/>
          <c:y val="0.950211197098125"/>
          <c:w val="0.34972996804747"/>
          <c:h val="0.049788802901874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000000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05_28_2024!$H$2:$H$2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05_28_2024!$B$106:$B$109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05_28_2024!$H$106:$H$109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05_28_2024!$K$2:$K$2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05_28_2024!$B$106:$B$109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05_28_2024!$K$106:$K$109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05_28_2024!$E$2:$E$2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05_28_2024!$B$106:$B$109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05_28_2024!$E$106:$E$109</c:f>
              <c:numCache>
                <c:formatCode>General</c:formatCode>
                <c:ptCount val="4"/>
              </c:numCache>
            </c:numRef>
          </c:val>
        </c:ser>
        <c:gapWidth val="150"/>
        <c:overlap val="0"/>
        <c:axId val="8819066"/>
        <c:axId val="12365379"/>
      </c:barChart>
      <c:catAx>
        <c:axId val="88190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12365379"/>
        <c:crosses val="autoZero"/>
        <c:auto val="1"/>
        <c:lblAlgn val="ctr"/>
        <c:lblOffset val="100"/>
        <c:noMultiLvlLbl val="0"/>
      </c:catAx>
      <c:valAx>
        <c:axId val="12365379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19066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208800</xdr:colOff>
      <xdr:row>0</xdr:row>
      <xdr:rowOff>0</xdr:rowOff>
    </xdr:from>
    <xdr:to>
      <xdr:col>0</xdr:col>
      <xdr:colOff>1749960</xdr:colOff>
      <xdr:row>4</xdr:row>
      <xdr:rowOff>314280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8800" y="0"/>
          <a:ext cx="1541160" cy="1114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31</xdr:col>
      <xdr:colOff>349560</xdr:colOff>
      <xdr:row>25</xdr:row>
      <xdr:rowOff>6840</xdr:rowOff>
    </xdr:from>
    <xdr:to>
      <xdr:col>31</xdr:col>
      <xdr:colOff>744120</xdr:colOff>
      <xdr:row>33</xdr:row>
      <xdr:rowOff>139680</xdr:rowOff>
    </xdr:to>
    <xdr:sp>
      <xdr:nvSpPr>
        <xdr:cNvPr id="1" name="Rectangle 12"/>
        <xdr:cNvSpPr/>
      </xdr:nvSpPr>
      <xdr:spPr>
        <a:xfrm>
          <a:off x="42161760" y="5580720"/>
          <a:ext cx="394560" cy="241596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139680</xdr:rowOff>
    </xdr:from>
    <xdr:to>
      <xdr:col>37</xdr:col>
      <xdr:colOff>455040</xdr:colOff>
      <xdr:row>37</xdr:row>
      <xdr:rowOff>181440</xdr:rowOff>
    </xdr:to>
    <xdr:graphicFrame>
      <xdr:nvGraphicFramePr>
        <xdr:cNvPr id="2" name="Chart 3"/>
        <xdr:cNvGraphicFramePr/>
      </xdr:nvGraphicFramePr>
      <xdr:xfrm>
        <a:off x="30391560" y="2005200"/>
        <a:ext cx="17867520" cy="68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32</xdr:col>
      <xdr:colOff>70920</xdr:colOff>
      <xdr:row>27</xdr:row>
      <xdr:rowOff>21240</xdr:rowOff>
    </xdr:from>
    <xdr:to>
      <xdr:col>32</xdr:col>
      <xdr:colOff>756360</xdr:colOff>
      <xdr:row>28</xdr:row>
      <xdr:rowOff>60840</xdr:rowOff>
    </xdr:to>
    <xdr:sp>
      <xdr:nvSpPr>
        <xdr:cNvPr id="3" name="TextBox 5"/>
        <xdr:cNvSpPr/>
      </xdr:nvSpPr>
      <xdr:spPr>
        <a:xfrm>
          <a:off x="42820920" y="6004800"/>
          <a:ext cx="685440" cy="2397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Aptos Narrow"/>
            </a:rPr>
            <a:t>OPD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282960</xdr:colOff>
      <xdr:row>29</xdr:row>
      <xdr:rowOff>52920</xdr:rowOff>
    </xdr:from>
    <xdr:to>
      <xdr:col>32</xdr:col>
      <xdr:colOff>577440</xdr:colOff>
      <xdr:row>31</xdr:row>
      <xdr:rowOff>429480</xdr:rowOff>
    </xdr:to>
    <xdr:sp>
      <xdr:nvSpPr>
        <xdr:cNvPr id="4" name="Rectangle 6"/>
        <xdr:cNvSpPr/>
      </xdr:nvSpPr>
      <xdr:spPr>
        <a:xfrm>
          <a:off x="43032960" y="6436440"/>
          <a:ext cx="294480" cy="797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29</xdr:col>
      <xdr:colOff>105120</xdr:colOff>
      <xdr:row>29</xdr:row>
      <xdr:rowOff>143640</xdr:rowOff>
    </xdr:from>
    <xdr:to>
      <xdr:col>29</xdr:col>
      <xdr:colOff>670320</xdr:colOff>
      <xdr:row>31</xdr:row>
      <xdr:rowOff>19800</xdr:rowOff>
    </xdr:to>
    <xdr:sp>
      <xdr:nvSpPr>
        <xdr:cNvPr id="5" name="TextBox 7"/>
        <xdr:cNvSpPr/>
      </xdr:nvSpPr>
      <xdr:spPr>
        <a:xfrm>
          <a:off x="40041720" y="6527160"/>
          <a:ext cx="565200" cy="2966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Aptos Narrow"/>
            </a:rPr>
            <a:t>EPD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29</xdr:col>
      <xdr:colOff>188280</xdr:colOff>
      <xdr:row>31</xdr:row>
      <xdr:rowOff>33480</xdr:rowOff>
    </xdr:from>
    <xdr:to>
      <xdr:col>29</xdr:col>
      <xdr:colOff>482760</xdr:colOff>
      <xdr:row>31</xdr:row>
      <xdr:rowOff>825480</xdr:rowOff>
    </xdr:to>
    <xdr:sp>
      <xdr:nvSpPr>
        <xdr:cNvPr id="6" name="Rectangle 4"/>
        <xdr:cNvSpPr/>
      </xdr:nvSpPr>
      <xdr:spPr>
        <a:xfrm>
          <a:off x="40124880" y="6837480"/>
          <a:ext cx="294480" cy="79200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29</xdr:col>
      <xdr:colOff>179280</xdr:colOff>
      <xdr:row>44</xdr:row>
      <xdr:rowOff>73080</xdr:rowOff>
    </xdr:from>
    <xdr:to>
      <xdr:col>37</xdr:col>
      <xdr:colOff>748440</xdr:colOff>
      <xdr:row>57</xdr:row>
      <xdr:rowOff>104760</xdr:rowOff>
    </xdr:to>
    <xdr:graphicFrame>
      <xdr:nvGraphicFramePr>
        <xdr:cNvPr id="7" name="Chart 9"/>
        <xdr:cNvGraphicFramePr/>
      </xdr:nvGraphicFramePr>
      <xdr:xfrm>
        <a:off x="40115880" y="10396800"/>
        <a:ext cx="8436600" cy="339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208800</xdr:colOff>
      <xdr:row>0</xdr:row>
      <xdr:rowOff>0</xdr:rowOff>
    </xdr:from>
    <xdr:to>
      <xdr:col>0</xdr:col>
      <xdr:colOff>1749960</xdr:colOff>
      <xdr:row>4</xdr:row>
      <xdr:rowOff>314280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208800" y="0"/>
          <a:ext cx="1541160" cy="1114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30</xdr:col>
      <xdr:colOff>349560</xdr:colOff>
      <xdr:row>25</xdr:row>
      <xdr:rowOff>68760</xdr:rowOff>
    </xdr:from>
    <xdr:to>
      <xdr:col>30</xdr:col>
      <xdr:colOff>744120</xdr:colOff>
      <xdr:row>34</xdr:row>
      <xdr:rowOff>20880</xdr:rowOff>
    </xdr:to>
    <xdr:sp>
      <xdr:nvSpPr>
        <xdr:cNvPr id="9" name="Rectangle 12"/>
        <xdr:cNvSpPr/>
      </xdr:nvSpPr>
      <xdr:spPr>
        <a:xfrm>
          <a:off x="41223960" y="5590080"/>
          <a:ext cx="394560" cy="2435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168480</xdr:rowOff>
    </xdr:from>
    <xdr:to>
      <xdr:col>36</xdr:col>
      <xdr:colOff>455040</xdr:colOff>
      <xdr:row>38</xdr:row>
      <xdr:rowOff>72360</xdr:rowOff>
    </xdr:to>
    <xdr:graphicFrame>
      <xdr:nvGraphicFramePr>
        <xdr:cNvPr id="10" name="Chart 3"/>
        <xdr:cNvGraphicFramePr/>
      </xdr:nvGraphicFramePr>
      <xdr:xfrm>
        <a:off x="30391560" y="2034000"/>
        <a:ext cx="16929720" cy="68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25</xdr:col>
      <xdr:colOff>1335240</xdr:colOff>
      <xdr:row>17</xdr:row>
      <xdr:rowOff>86400</xdr:rowOff>
    </xdr:from>
    <xdr:to>
      <xdr:col>26</xdr:col>
      <xdr:colOff>285120</xdr:colOff>
      <xdr:row>32</xdr:row>
      <xdr:rowOff>139680</xdr:rowOff>
    </xdr:to>
    <xdr:sp>
      <xdr:nvSpPr>
        <xdr:cNvPr id="11" name="Rectangle 4"/>
        <xdr:cNvSpPr/>
      </xdr:nvSpPr>
      <xdr:spPr>
        <a:xfrm>
          <a:off x="36754200" y="3943440"/>
          <a:ext cx="653760" cy="380052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32</xdr:col>
      <xdr:colOff>478080</xdr:colOff>
      <xdr:row>26</xdr:row>
      <xdr:rowOff>82800</xdr:rowOff>
    </xdr:from>
    <xdr:to>
      <xdr:col>33</xdr:col>
      <xdr:colOff>339120</xdr:colOff>
      <xdr:row>27</xdr:row>
      <xdr:rowOff>132480</xdr:rowOff>
    </xdr:to>
    <xdr:sp>
      <xdr:nvSpPr>
        <xdr:cNvPr id="12" name="TextBox 5"/>
        <xdr:cNvSpPr/>
      </xdr:nvSpPr>
      <xdr:spPr>
        <a:xfrm>
          <a:off x="43228080" y="5813640"/>
          <a:ext cx="799200" cy="2498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Aptos Narrow"/>
            </a:rPr>
            <a:t>OPD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32</xdr:col>
      <xdr:colOff>647640</xdr:colOff>
      <xdr:row>31</xdr:row>
      <xdr:rowOff>97200</xdr:rowOff>
    </xdr:from>
    <xdr:to>
      <xdr:col>33</xdr:col>
      <xdr:colOff>161280</xdr:colOff>
      <xdr:row>32</xdr:row>
      <xdr:rowOff>72000</xdr:rowOff>
    </xdr:to>
    <xdr:sp>
      <xdr:nvSpPr>
        <xdr:cNvPr id="13" name="Rectangle 6"/>
        <xdr:cNvSpPr/>
      </xdr:nvSpPr>
      <xdr:spPr>
        <a:xfrm>
          <a:off x="43397640" y="6848640"/>
          <a:ext cx="451800" cy="8276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25</xdr:col>
      <xdr:colOff>1263600</xdr:colOff>
      <xdr:row>15</xdr:row>
      <xdr:rowOff>114120</xdr:rowOff>
    </xdr:from>
    <xdr:to>
      <xdr:col>26</xdr:col>
      <xdr:colOff>324720</xdr:colOff>
      <xdr:row>17</xdr:row>
      <xdr:rowOff>15480</xdr:rowOff>
    </xdr:to>
    <xdr:sp>
      <xdr:nvSpPr>
        <xdr:cNvPr id="14" name="TextBox 7"/>
        <xdr:cNvSpPr/>
      </xdr:nvSpPr>
      <xdr:spPr>
        <a:xfrm>
          <a:off x="36682560" y="3571200"/>
          <a:ext cx="765000" cy="301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Aptos Narrow"/>
            </a:rPr>
            <a:t>EPD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28</xdr:col>
      <xdr:colOff>300240</xdr:colOff>
      <xdr:row>45</xdr:row>
      <xdr:rowOff>172440</xdr:rowOff>
    </xdr:from>
    <xdr:to>
      <xdr:col>36</xdr:col>
      <xdr:colOff>368640</xdr:colOff>
      <xdr:row>57</xdr:row>
      <xdr:rowOff>177480</xdr:rowOff>
    </xdr:to>
    <xdr:graphicFrame>
      <xdr:nvGraphicFramePr>
        <xdr:cNvPr id="15" name="Chart 9"/>
        <xdr:cNvGraphicFramePr/>
      </xdr:nvGraphicFramePr>
      <xdr:xfrm>
        <a:off x="39298680" y="10643760"/>
        <a:ext cx="7936200" cy="31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F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.75" zeroHeight="false" outlineLevelRow="2" outlineLevelCol="0"/>
  <cols>
    <col collapsed="false" customWidth="true" hidden="false" outlineLevel="0" max="1" min="1" style="1" width="39.43"/>
    <col collapsed="false" customWidth="true" hidden="false" outlineLevel="0" max="2" min="2" style="1" width="26.29"/>
    <col collapsed="false" customWidth="true" hidden="false" outlineLevel="0" max="3" min="3" style="1" width="32.29"/>
    <col collapsed="false" customWidth="true" hidden="false" outlineLevel="0" max="4" min="4" style="1" width="22.29"/>
    <col collapsed="false" customWidth="true" hidden="false" outlineLevel="0" max="5" min="5" style="1" width="23.28"/>
    <col collapsed="false" customWidth="true" hidden="false" outlineLevel="0" max="6" min="6" style="1" width="25.71"/>
    <col collapsed="false" customWidth="true" hidden="false" outlineLevel="0" max="8" min="7" style="1" width="16.72"/>
    <col collapsed="false" customWidth="true" hidden="false" outlineLevel="0" max="9" min="9" style="1" width="18.43"/>
    <col collapsed="false" customWidth="true" hidden="false" outlineLevel="0" max="10" min="10" style="1" width="15.72"/>
    <col collapsed="false" customWidth="true" hidden="false" outlineLevel="0" max="11" min="11" style="1" width="16.43"/>
    <col collapsed="false" customWidth="true" hidden="false" outlineLevel="0" max="12" min="12" style="1" width="16.72"/>
    <col collapsed="false" customWidth="true" hidden="false" outlineLevel="0" max="13" min="13" style="1" width="17.3"/>
    <col collapsed="false" customWidth="true" hidden="false" outlineLevel="0" max="14" min="14" style="1" width="10.29"/>
    <col collapsed="false" customWidth="true" hidden="false" outlineLevel="0" max="15" min="15" style="1" width="11"/>
    <col collapsed="false" customWidth="true" hidden="false" outlineLevel="0" max="16" min="16" style="1" width="18.7"/>
    <col collapsed="false" customWidth="true" hidden="false" outlineLevel="0" max="17" min="17" style="1" width="11"/>
    <col collapsed="false" customWidth="true" hidden="false" outlineLevel="0" max="21" min="18" style="1" width="11.72"/>
    <col collapsed="false" customWidth="true" hidden="false" outlineLevel="0" max="22" min="22" style="1" width="22.29"/>
    <col collapsed="false" customWidth="true" hidden="false" outlineLevel="0" max="25" min="23" style="1" width="11.72"/>
    <col collapsed="false" customWidth="true" hidden="false" outlineLevel="0" max="26" min="26" style="1" width="21.3"/>
    <col collapsed="false" customWidth="true" hidden="false" outlineLevel="0" max="35" min="27" style="1" width="11.72"/>
    <col collapsed="false" customWidth="true" hidden="false" outlineLevel="0" max="36" min="36" style="1" width="13.3"/>
    <col collapsed="false" customWidth="true" hidden="false" outlineLevel="0" max="37" min="37" style="1" width="14.7"/>
    <col collapsed="false" customWidth="true" hidden="false" outlineLevel="0" max="38" min="38" style="1" width="11.72"/>
    <col collapsed="false" customWidth="true" hidden="false" outlineLevel="0" max="39" min="39" style="1" width="9.43"/>
    <col collapsed="false" customWidth="true" hidden="false" outlineLevel="0" max="40" min="40" style="1" width="8.29"/>
    <col collapsed="false" customWidth="true" hidden="false" outlineLevel="0" max="41" min="41" style="1" width="7.43"/>
    <col collapsed="false" customWidth="true" hidden="false" outlineLevel="0" max="43" min="42" style="1" width="9.3"/>
    <col collapsed="false" customWidth="true" hidden="false" outlineLevel="0" max="44" min="44" style="1" width="8.43"/>
    <col collapsed="false" customWidth="true" hidden="false" outlineLevel="0" max="64" min="45" style="1" width="9.3"/>
    <col collapsed="false" customWidth="false" hidden="false" outlineLevel="0" max="16384" min="65" style="1" width="8.72"/>
  </cols>
  <sheetData>
    <row r="1" customFormat="false" ht="15.75" hidden="false" customHeight="false" outlineLevel="0" collapsed="false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customFormat="false" ht="15.75" hidden="false" customHeight="false" outlineLevel="0" collapsed="false">
      <c r="A2" s="5"/>
      <c r="B2" s="6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customFormat="false" ht="15.75" hidden="false" customHeight="false" outlineLevel="0" collapsed="false">
      <c r="A3" s="5"/>
      <c r="B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customFormat="false" ht="15.75" hidden="false" customHeight="false" outlineLevel="0" collapsed="false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</row>
    <row r="5" customFormat="false" ht="34.5" hidden="false" customHeight="true" outlineLevel="0" collapsed="false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 t="s">
        <v>3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customFormat="false" ht="15.75" hidden="false" customHeight="false" outlineLevel="0" collapsed="false">
      <c r="A7" s="8" t="s">
        <v>4</v>
      </c>
      <c r="B7" s="8"/>
      <c r="C7" s="8"/>
      <c r="D7" s="8"/>
      <c r="E7" s="3"/>
      <c r="F7" s="9" t="s">
        <v>5</v>
      </c>
      <c r="G7" s="10"/>
      <c r="H7" s="10"/>
      <c r="I7" s="10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customFormat="false" ht="17.9" hidden="false" customHeight="false" outlineLevel="0" collapsed="false">
      <c r="A8" s="11" t="s">
        <v>6</v>
      </c>
      <c r="B8" s="12" t="s">
        <v>7</v>
      </c>
      <c r="C8" s="13" t="s">
        <v>8</v>
      </c>
      <c r="D8" s="14" t="n">
        <f aca="false">D10*B11*8.34*10000</f>
        <v>448.828776</v>
      </c>
      <c r="E8" s="3"/>
      <c r="F8" s="15"/>
      <c r="G8" s="16"/>
      <c r="H8" s="16"/>
      <c r="I8" s="17" t="s">
        <v>9</v>
      </c>
      <c r="J8" s="18"/>
      <c r="K8" s="3"/>
      <c r="L8" s="3"/>
      <c r="M8" s="3"/>
      <c r="N8" s="3"/>
      <c r="O8" s="3"/>
      <c r="P8" s="3"/>
      <c r="Q8" s="3"/>
      <c r="R8" s="3"/>
      <c r="S8" s="3"/>
      <c r="T8" s="3"/>
      <c r="U8" s="19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customFormat="false" ht="17.9" hidden="false" customHeight="false" outlineLevel="0" collapsed="false">
      <c r="A9" s="22" t="s">
        <v>10</v>
      </c>
      <c r="B9" s="12" t="n">
        <v>0.165</v>
      </c>
      <c r="C9" s="23" t="s">
        <v>11</v>
      </c>
      <c r="D9" s="24" t="n">
        <f aca="false">B9*B10</f>
        <v>14.949</v>
      </c>
      <c r="E9" s="3"/>
      <c r="F9" s="25"/>
      <c r="G9" s="26" t="s">
        <v>12</v>
      </c>
      <c r="H9" s="26" t="s">
        <v>13</v>
      </c>
      <c r="I9" s="26" t="s">
        <v>14</v>
      </c>
      <c r="J9" s="26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  <c r="U9" s="27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9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customFormat="false" ht="17.9" hidden="false" customHeight="false" outlineLevel="0" collapsed="false">
      <c r="A10" s="22" t="s">
        <v>16</v>
      </c>
      <c r="B10" s="30" t="n">
        <v>90.6</v>
      </c>
      <c r="C10" s="23" t="s">
        <v>17</v>
      </c>
      <c r="D10" s="24" t="n">
        <f aca="false">D9*1440/1000000</f>
        <v>0.02152656</v>
      </c>
      <c r="E10" s="3"/>
      <c r="F10" s="25" t="s">
        <v>18</v>
      </c>
      <c r="G10" s="31" t="s">
        <v>19</v>
      </c>
      <c r="H10" s="32" t="n">
        <f aca="false">J68</f>
        <v>3.50845986784295</v>
      </c>
      <c r="I10" s="32"/>
      <c r="J10" s="32"/>
      <c r="K10" s="3"/>
      <c r="L10" s="3"/>
      <c r="M10" s="3"/>
      <c r="N10" s="3"/>
      <c r="O10" s="3"/>
      <c r="P10" s="3"/>
      <c r="Q10" s="3"/>
      <c r="R10" s="3"/>
      <c r="S10" s="3"/>
      <c r="T10" s="3"/>
      <c r="U10" s="27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9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customFormat="false" ht="17.9" hidden="false" customHeight="false" outlineLevel="0" collapsed="false">
      <c r="A11" s="22" t="s">
        <v>20</v>
      </c>
      <c r="B11" s="33" t="n">
        <v>0.25</v>
      </c>
      <c r="C11" s="23" t="s">
        <v>21</v>
      </c>
      <c r="D11" s="24" t="n">
        <f aca="false">B10*1440/1000000</f>
        <v>0.130464</v>
      </c>
      <c r="E11" s="3"/>
      <c r="F11" s="25" t="s">
        <v>22</v>
      </c>
      <c r="G11" s="31" t="s">
        <v>23</v>
      </c>
      <c r="H11" s="34" t="n">
        <f aca="false">B9</f>
        <v>0.165</v>
      </c>
      <c r="I11" s="34" t="n">
        <f aca="false">B9</f>
        <v>0.165</v>
      </c>
      <c r="J11" s="34" t="n">
        <f aca="false">B9</f>
        <v>0.165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27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9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customFormat="false" ht="17.9" hidden="false" customHeight="false" outlineLevel="0" collapsed="false">
      <c r="A12" s="22" t="s">
        <v>24</v>
      </c>
      <c r="B12" s="35" t="n">
        <v>6.1</v>
      </c>
      <c r="C12" s="23" t="s">
        <v>25</v>
      </c>
      <c r="D12" s="24" t="n">
        <f aca="false">(B12/(1+(B15/B14)))</f>
        <v>3.72890365448505</v>
      </c>
      <c r="E12" s="3"/>
      <c r="F12" s="25" t="s">
        <v>26</v>
      </c>
      <c r="G12" s="31" t="s">
        <v>27</v>
      </c>
      <c r="H12" s="36" t="n">
        <f aca="false">AT71</f>
        <v>21.7108650114198</v>
      </c>
      <c r="I12" s="37" t="n">
        <f aca="false">Y71</f>
        <v>26.6031286651348</v>
      </c>
      <c r="J12" s="37" t="n">
        <f aca="false">AO71</f>
        <v>23.8996597132248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27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9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customFormat="false" ht="17.9" hidden="false" customHeight="false" outlineLevel="0" collapsed="false">
      <c r="A13" s="22" t="s">
        <v>28</v>
      </c>
      <c r="B13" s="38" t="n">
        <f aca="false">05_21_2024!H10</f>
        <v>3.79994071892601</v>
      </c>
      <c r="C13" s="23" t="s">
        <v>29</v>
      </c>
      <c r="D13" s="24" t="n">
        <f aca="false">D11*D12*8.34*(10000/2000)</f>
        <v>20.2865365219934</v>
      </c>
      <c r="E13" s="3"/>
      <c r="F13" s="25" t="s">
        <v>30</v>
      </c>
      <c r="G13" s="31" t="s">
        <v>19</v>
      </c>
      <c r="H13" s="32" t="n">
        <f aca="false">J67</f>
        <v>28.6676867819035</v>
      </c>
      <c r="I13" s="37" t="n">
        <f aca="false">Z71</f>
        <v>26.0874288997117</v>
      </c>
      <c r="J13" s="37" t="n">
        <f aca="false">AP71</f>
        <v>29.747240591983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9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customFormat="false" ht="17.9" hidden="false" customHeight="false" outlineLevel="0" collapsed="false">
      <c r="A14" s="22" t="s">
        <v>31</v>
      </c>
      <c r="B14" s="39" t="n">
        <v>552</v>
      </c>
      <c r="C14" s="23" t="s">
        <v>32</v>
      </c>
      <c r="D14" s="24" t="n">
        <f aca="false">D8/D13</f>
        <v>22.1244654312188</v>
      </c>
      <c r="E14" s="3"/>
      <c r="F14" s="25" t="s">
        <v>33</v>
      </c>
      <c r="G14" s="31" t="s">
        <v>34</v>
      </c>
      <c r="H14" s="32" t="n">
        <f aca="false">AV71</f>
        <v>600.000000000001</v>
      </c>
      <c r="I14" s="37" t="n">
        <f aca="false">AA71</f>
        <v>810</v>
      </c>
      <c r="J14" s="37" t="n">
        <f aca="false">AQ71</f>
        <v>705.000000000011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9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customFormat="false" ht="22.05" hidden="false" customHeight="false" outlineLevel="0" collapsed="false">
      <c r="A15" s="40" t="s">
        <v>35</v>
      </c>
      <c r="B15" s="41" t="n">
        <v>351</v>
      </c>
      <c r="C15" s="42" t="s">
        <v>36</v>
      </c>
      <c r="D15" s="43" t="n">
        <f aca="false">((B9*B11)/B13)*2000</f>
        <v>21.7108650114198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9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customFormat="false" ht="15.75" hidden="false" customHeight="false" outlineLevel="0" collapsed="false">
      <c r="A16" s="44"/>
      <c r="B16" s="4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9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customFormat="false" ht="15.75" hidden="false" customHeight="true" outlineLevel="2" collapsed="false">
      <c r="A17" s="45" t="s">
        <v>37</v>
      </c>
      <c r="B17" s="45"/>
      <c r="C17" s="4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9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customFormat="false" ht="15.75" hidden="false" customHeight="false" outlineLevel="2" collapsed="false">
      <c r="A18" s="46"/>
      <c r="B18" s="13"/>
      <c r="C18" s="4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9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customFormat="false" ht="15.75" hidden="false" customHeight="false" outlineLevel="2" collapsed="false">
      <c r="A19" s="48" t="s">
        <v>38</v>
      </c>
      <c r="B19" s="49" t="n">
        <f aca="false">1/453.59237</f>
        <v>0.00220462262184878</v>
      </c>
      <c r="C19" s="50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7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9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customFormat="false" ht="15.75" hidden="false" customHeight="false" outlineLevel="2" collapsed="false">
      <c r="A20" s="48" t="s">
        <v>38</v>
      </c>
      <c r="B20" s="49" t="n">
        <v>1.10231099500101E-006</v>
      </c>
      <c r="C20" s="50" t="s">
        <v>40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7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9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customFormat="false" ht="15.75" hidden="false" customHeight="false" outlineLevel="2" collapsed="false">
      <c r="A21" s="48" t="s">
        <v>41</v>
      </c>
      <c r="B21" s="49" t="n">
        <v>3.95</v>
      </c>
      <c r="C21" s="50" t="s">
        <v>42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9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customFormat="false" ht="17.9" hidden="false" customHeight="false" outlineLevel="2" collapsed="false">
      <c r="A22" s="48" t="s">
        <v>43</v>
      </c>
      <c r="B22" s="51" t="n">
        <f aca="false">((3.95/2)*0.0254)^2 * PI()</f>
        <v>0.00790590344261871</v>
      </c>
      <c r="C22" s="50" t="s">
        <v>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9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customFormat="false" ht="17.9" hidden="false" customHeight="false" outlineLevel="2" collapsed="false">
      <c r="A23" s="52" t="s">
        <v>45</v>
      </c>
      <c r="B23" s="52"/>
      <c r="C23" s="5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7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9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customFormat="false" ht="15.75" hidden="false" customHeight="false" outlineLevel="2" collapsed="false">
      <c r="A24" s="48" t="s">
        <v>46</v>
      </c>
      <c r="B24" s="53" t="n">
        <f aca="false">B22*0.8*1000</f>
        <v>6.32472275409497</v>
      </c>
      <c r="C24" s="50" t="s">
        <v>47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7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9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customFormat="false" ht="16.5" hidden="false" customHeight="true" outlineLevel="2" collapsed="false">
      <c r="A25" s="48" t="s">
        <v>48</v>
      </c>
      <c r="B25" s="53" t="n">
        <v>3.5</v>
      </c>
      <c r="C25" s="50" t="s">
        <v>49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7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9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customFormat="false" ht="16.5" hidden="false" customHeight="true" outlineLevel="2" collapsed="false">
      <c r="A26" s="52" t="s">
        <v>50</v>
      </c>
      <c r="B26" s="52"/>
      <c r="C26" s="5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7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9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customFormat="false" ht="15.75" hidden="false" customHeight="false" outlineLevel="2" collapsed="false">
      <c r="A27" s="48" t="s">
        <v>51</v>
      </c>
      <c r="B27" s="53" t="n">
        <v>0.25</v>
      </c>
      <c r="C27" s="5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7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9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customFormat="false" ht="15.75" hidden="false" customHeight="false" outlineLevel="2" collapsed="false">
      <c r="A28" s="54" t="s">
        <v>52</v>
      </c>
      <c r="B28" s="55" t="s">
        <v>53</v>
      </c>
      <c r="C28" s="56" t="s">
        <v>54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7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9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7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9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customFormat="false" ht="15.75" hidden="false" customHeight="false" outlineLevel="0" collapsed="false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9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customFormat="false" ht="17.35" hidden="false" customHeight="false" outlineLevel="0" collapsed="false">
      <c r="A31" s="57" t="s">
        <v>55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8"/>
      <c r="T31" s="58"/>
      <c r="U31" s="27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9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customFormat="false" ht="67.15" hidden="false" customHeight="false" outlineLevel="0" collapsed="false">
      <c r="A32" s="59" t="s">
        <v>56</v>
      </c>
      <c r="B32" s="60" t="s">
        <v>57</v>
      </c>
      <c r="C32" s="60" t="s">
        <v>58</v>
      </c>
      <c r="D32" s="60" t="s">
        <v>59</v>
      </c>
      <c r="E32" s="60" t="s">
        <v>60</v>
      </c>
      <c r="F32" s="60" t="s">
        <v>61</v>
      </c>
      <c r="G32" s="60" t="s">
        <v>62</v>
      </c>
      <c r="H32" s="60" t="s">
        <v>63</v>
      </c>
      <c r="I32" s="60" t="s">
        <v>64</v>
      </c>
      <c r="J32" s="60" t="s">
        <v>65</v>
      </c>
      <c r="K32" s="60" t="s">
        <v>66</v>
      </c>
      <c r="L32" s="60" t="s">
        <v>67</v>
      </c>
      <c r="M32" s="60" t="s">
        <v>68</v>
      </c>
      <c r="N32" s="60" t="s">
        <v>69</v>
      </c>
      <c r="O32" s="60" t="s">
        <v>70</v>
      </c>
      <c r="P32" s="60" t="s">
        <v>71</v>
      </c>
      <c r="Q32" s="60" t="s">
        <v>72</v>
      </c>
      <c r="R32" s="61" t="s">
        <v>73</v>
      </c>
      <c r="S32" s="62"/>
      <c r="T32" s="62"/>
      <c r="U32" s="27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9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customFormat="false" ht="15.75" hidden="false" customHeight="false" outlineLevel="0" collapsed="false">
      <c r="A33" s="63" t="n">
        <v>1</v>
      </c>
      <c r="B33" s="64" t="n">
        <v>17</v>
      </c>
      <c r="C33" s="64" t="n">
        <v>3.8</v>
      </c>
      <c r="D33" s="64" t="n">
        <v>504.72</v>
      </c>
      <c r="E33" s="65" t="n">
        <f aca="false">(B33*D33*$B$20*C33)/($B$19*$B$27)</f>
        <v>65.2098053108079</v>
      </c>
      <c r="F33" s="66" t="n">
        <v>67.24</v>
      </c>
      <c r="G33" s="66" t="n">
        <v>1.98</v>
      </c>
      <c r="H33" s="67" t="n">
        <f aca="false">F33-G33</f>
        <v>65.26</v>
      </c>
      <c r="I33" s="68" t="n">
        <f aca="false">(H33*$B$27*$B$19)/ (D33*$B$20*C33)</f>
        <v>17.0130856044148</v>
      </c>
      <c r="J33" s="64" t="n">
        <v>206.64</v>
      </c>
      <c r="K33" s="64" t="n">
        <v>408.48</v>
      </c>
      <c r="L33" s="64" t="n">
        <v>351.96</v>
      </c>
      <c r="M33" s="64" t="n">
        <f aca="false">811.95-25</f>
        <v>786.95</v>
      </c>
      <c r="N33" s="65" t="n">
        <v>100</v>
      </c>
      <c r="O33" s="69" t="n">
        <f aca="false">L33-J33</f>
        <v>145.32</v>
      </c>
      <c r="P33" s="65" t="n">
        <f aca="false">M33-K33</f>
        <v>378.47</v>
      </c>
      <c r="Q33" s="65" t="n">
        <f aca="false">((O33+P33)/O33)*(D33/(D33+H33))*C33</f>
        <v>12.128478079214</v>
      </c>
      <c r="R33" s="70" t="n">
        <f aca="false">$B$24/Q33*100</f>
        <v>52.1477032220091</v>
      </c>
      <c r="S33" s="71"/>
      <c r="T33" s="71"/>
      <c r="U33" s="27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9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customFormat="false" ht="15.75" hidden="false" customHeight="false" outlineLevel="0" collapsed="false">
      <c r="A34" s="63" t="n">
        <v>2</v>
      </c>
      <c r="B34" s="64" t="n">
        <v>19</v>
      </c>
      <c r="C34" s="64" t="n">
        <v>3.8</v>
      </c>
      <c r="D34" s="64" t="n">
        <v>503.8</v>
      </c>
      <c r="E34" s="65" t="n">
        <f aca="false">(B34*D34*$B$20*C34)/($B$19*$B$27)</f>
        <v>72.7486991501538</v>
      </c>
      <c r="F34" s="66" t="n">
        <v>73.85</v>
      </c>
      <c r="G34" s="66" t="n">
        <v>2.11</v>
      </c>
      <c r="H34" s="72" t="n">
        <f aca="false">F34-G34</f>
        <v>71.74</v>
      </c>
      <c r="I34" s="68" t="n">
        <f aca="false">(H34*$B$27*$B$19)/ (D34*$B$20*C34)</f>
        <v>18.7365549614384</v>
      </c>
      <c r="J34" s="64" t="n">
        <v>205.76</v>
      </c>
      <c r="K34" s="64" t="n">
        <v>407.97</v>
      </c>
      <c r="L34" s="64" t="n">
        <v>353.89</v>
      </c>
      <c r="M34" s="64" t="n">
        <f aca="false">820.38-25</f>
        <v>795.38</v>
      </c>
      <c r="N34" s="65" t="n">
        <v>100</v>
      </c>
      <c r="O34" s="69" t="n">
        <f aca="false">L34-J34</f>
        <v>148.13</v>
      </c>
      <c r="P34" s="65" t="n">
        <f aca="false">M34-K34</f>
        <v>387.41</v>
      </c>
      <c r="Q34" s="65" t="n">
        <f aca="false">((O34+P34)/O34)*(D34/(D34+H34))*C34</f>
        <v>12.0258321730244</v>
      </c>
      <c r="R34" s="70" t="n">
        <f aca="false">$B$24/Q34*100</f>
        <v>52.5928074090554</v>
      </c>
      <c r="S34" s="71"/>
      <c r="T34" s="71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9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customFormat="false" ht="15.75" hidden="false" customHeight="false" outlineLevel="0" collapsed="false">
      <c r="A35" s="63" t="n">
        <v>3</v>
      </c>
      <c r="B35" s="73" t="n">
        <v>21.5</v>
      </c>
      <c r="C35" s="64" t="n">
        <v>3.8</v>
      </c>
      <c r="D35" s="64" t="n">
        <v>501.37</v>
      </c>
      <c r="E35" s="65" t="n">
        <f aca="false">(B35*D35*$B$20*C35)/($B$19*$B$27)</f>
        <v>81.9238345205512</v>
      </c>
      <c r="F35" s="66" t="n">
        <v>83.5</v>
      </c>
      <c r="G35" s="66" t="n">
        <v>1.9</v>
      </c>
      <c r="H35" s="72" t="n">
        <f aca="false">F35-G35</f>
        <v>81.6</v>
      </c>
      <c r="I35" s="68" t="n">
        <f aca="false">(H35*$B$27*$B$19)/ (D35*$B$20*C35)</f>
        <v>21.4150132286581</v>
      </c>
      <c r="J35" s="64" t="n">
        <v>159.38</v>
      </c>
      <c r="K35" s="64" t="n">
        <v>412.95</v>
      </c>
      <c r="L35" s="64" t="n">
        <v>301.78</v>
      </c>
      <c r="M35" s="64" t="n">
        <v>785.76</v>
      </c>
      <c r="N35" s="65" t="n">
        <v>100</v>
      </c>
      <c r="O35" s="69" t="n">
        <f aca="false">L35-J35</f>
        <v>142.4</v>
      </c>
      <c r="P35" s="65" t="n">
        <f aca="false">M35-K35</f>
        <v>372.81</v>
      </c>
      <c r="Q35" s="65" t="n">
        <f aca="false">((O35+P35)/O35)*(D35/(D35+H35))*C35</f>
        <v>11.8241526784195</v>
      </c>
      <c r="R35" s="70" t="n">
        <f aca="false">$B$24/Q35*100</f>
        <v>53.4898603401693</v>
      </c>
      <c r="S35" s="71"/>
      <c r="T35" s="71"/>
      <c r="U35" s="27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9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customFormat="false" ht="15.75" hidden="false" customHeight="false" outlineLevel="0" collapsed="false">
      <c r="A36" s="63" t="n">
        <v>4</v>
      </c>
      <c r="B36" s="64" t="n">
        <v>24</v>
      </c>
      <c r="C36" s="64" t="n">
        <v>3.8</v>
      </c>
      <c r="D36" s="64" t="n">
        <v>502.76</v>
      </c>
      <c r="E36" s="65" t="n">
        <f aca="false">(B36*D36*$B$20*C36)/($B$19*$B$27)</f>
        <v>91.7033977177191</v>
      </c>
      <c r="F36" s="66" t="n">
        <v>92.92</v>
      </c>
      <c r="G36" s="66" t="n">
        <v>1.6</v>
      </c>
      <c r="H36" s="72" t="n">
        <f aca="false">F36-G36</f>
        <v>91.32</v>
      </c>
      <c r="I36" s="68" t="n">
        <f aca="false">(H36*$B$27*$B$19)/ (D36*$B$20*C36)</f>
        <v>23.8996597132248</v>
      </c>
      <c r="J36" s="64" t="n">
        <v>401.68</v>
      </c>
      <c r="K36" s="64" t="n">
        <v>399.01</v>
      </c>
      <c r="L36" s="64" t="n">
        <v>540.86</v>
      </c>
      <c r="M36" s="64" t="n">
        <v>759.18</v>
      </c>
      <c r="N36" s="65" t="n">
        <v>100</v>
      </c>
      <c r="O36" s="69" t="n">
        <f aca="false">L36-J36</f>
        <v>139.18</v>
      </c>
      <c r="P36" s="65" t="n">
        <f aca="false">M36-K36</f>
        <v>360.17</v>
      </c>
      <c r="Q36" s="65" t="n">
        <f aca="false">((O36+P36)/O36)*(D36/(D36+H36))*C36</f>
        <v>11.5379221510454</v>
      </c>
      <c r="R36" s="70" t="n">
        <f aca="false">$B$24/Q36*100</f>
        <v>54.8168263860398</v>
      </c>
      <c r="S36" s="71"/>
      <c r="T36" s="71"/>
      <c r="U36" s="27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9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customFormat="false" ht="15.75" hidden="false" customHeight="false" outlineLevel="0" collapsed="false">
      <c r="A37" s="63" t="n">
        <v>5</v>
      </c>
      <c r="B37" s="64" t="n">
        <v>26.5</v>
      </c>
      <c r="C37" s="64" t="n">
        <v>3.8</v>
      </c>
      <c r="D37" s="64" t="n">
        <v>500.98</v>
      </c>
      <c r="E37" s="65" t="n">
        <f aca="false">(B37*D37*$B$20*C37)/($B$19*$B$27)</f>
        <v>100.897343082726</v>
      </c>
      <c r="F37" s="66" t="n">
        <v>102.91</v>
      </c>
      <c r="G37" s="66" t="n">
        <v>1.62</v>
      </c>
      <c r="H37" s="72" t="n">
        <f aca="false">F37-G37</f>
        <v>101.29</v>
      </c>
      <c r="I37" s="68" t="n">
        <f aca="false">(H37*$B$27*$B$19)/ (D37*$B$20*C37)</f>
        <v>26.6031286651348</v>
      </c>
      <c r="J37" s="64" t="n">
        <v>509.76</v>
      </c>
      <c r="K37" s="64" t="n">
        <v>686.52</v>
      </c>
      <c r="L37" s="64" t="n">
        <v>684.82</v>
      </c>
      <c r="M37" s="64" t="n">
        <v>1047</v>
      </c>
      <c r="N37" s="65" t="n">
        <v>100</v>
      </c>
      <c r="O37" s="69" t="n">
        <f aca="false">L37-J37</f>
        <v>175.06</v>
      </c>
      <c r="P37" s="65" t="n">
        <f aca="false">M37-K37</f>
        <v>360.48</v>
      </c>
      <c r="Q37" s="65" t="n">
        <f aca="false">((O37+P37)/O37)*(D37/(D37+H37))*C37</f>
        <v>9.66980562519389</v>
      </c>
      <c r="R37" s="70" t="n">
        <f aca="false">$B$24/Q37*100</f>
        <v>65.4069274941414</v>
      </c>
      <c r="S37" s="71"/>
      <c r="T37" s="71"/>
      <c r="U37" s="27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9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customFormat="false" ht="15.75" hidden="false" customHeight="false" outlineLevel="0" collapsed="false">
      <c r="A38" s="74" t="n">
        <v>6</v>
      </c>
      <c r="B38" s="75" t="n">
        <v>29</v>
      </c>
      <c r="C38" s="75" t="n">
        <v>3.8</v>
      </c>
      <c r="D38" s="75" t="n">
        <v>504.06</v>
      </c>
      <c r="E38" s="76" t="n">
        <f aca="false">(B38*D38*$B$20*C38)/($B$19*$B$27)</f>
        <v>111.094792160127</v>
      </c>
      <c r="F38" s="77" t="n">
        <v>112.85</v>
      </c>
      <c r="G38" s="77" t="n">
        <v>1.22</v>
      </c>
      <c r="H38" s="72" t="n">
        <f aca="false">F38-G38</f>
        <v>111.63</v>
      </c>
      <c r="I38" s="68" t="n">
        <f aca="false">(H38*$B$27*$B$19)/ (D38*$B$20*C38)</f>
        <v>29.1397097654582</v>
      </c>
      <c r="J38" s="64" t="n">
        <v>443.26</v>
      </c>
      <c r="K38" s="64" t="n">
        <v>361.64</v>
      </c>
      <c r="L38" s="75" t="n">
        <v>571.18</v>
      </c>
      <c r="M38" s="75" t="n">
        <v>741</v>
      </c>
      <c r="N38" s="65" t="n">
        <v>100</v>
      </c>
      <c r="O38" s="69" t="n">
        <f aca="false">L38-J38</f>
        <v>127.92</v>
      </c>
      <c r="P38" s="65" t="n">
        <f aca="false">M38-K38</f>
        <v>379.36</v>
      </c>
      <c r="Q38" s="65" t="n">
        <f aca="false">((O38+P38)/O38)*(D38/(D38+H38))*C38</f>
        <v>12.3370981906327</v>
      </c>
      <c r="R38" s="70" t="n">
        <f aca="false">$B$24/Q38*100</f>
        <v>51.265886486153</v>
      </c>
      <c r="S38" s="71"/>
      <c r="T38" s="71"/>
      <c r="U38" s="27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9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customFormat="false" ht="18" hidden="false" customHeight="true" outlineLevel="0" collapsed="false">
      <c r="A39" s="78" t="s">
        <v>74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3"/>
      <c r="O39" s="3"/>
      <c r="P39" s="3"/>
      <c r="Q39" s="3"/>
      <c r="R39" s="3" t="n">
        <v>0</v>
      </c>
      <c r="S39" s="3"/>
      <c r="T39" s="3"/>
      <c r="U39" s="27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9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customFormat="false" ht="15.75" hidden="false" customHeight="true" outlineLevel="0" collapsed="false">
      <c r="A40" s="60" t="s">
        <v>56</v>
      </c>
      <c r="B40" s="60" t="s">
        <v>75</v>
      </c>
      <c r="C40" s="61" t="s">
        <v>76</v>
      </c>
      <c r="D40" s="79" t="s">
        <v>77</v>
      </c>
      <c r="E40" s="79"/>
      <c r="F40" s="79"/>
      <c r="G40" s="79"/>
      <c r="H40" s="79"/>
      <c r="I40" s="80" t="s">
        <v>78</v>
      </c>
      <c r="J40" s="80"/>
      <c r="K40" s="80"/>
      <c r="L40" s="80"/>
      <c r="M40" s="80"/>
      <c r="N40" s="3"/>
      <c r="O40" s="3"/>
      <c r="P40" s="3"/>
      <c r="Q40" s="3"/>
      <c r="R40" s="3"/>
      <c r="S40" s="3"/>
      <c r="T40" s="3"/>
      <c r="U40" s="27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9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customFormat="false" ht="15.75" hidden="false" customHeight="false" outlineLevel="0" collapsed="false">
      <c r="A41" s="81" t="n">
        <v>1</v>
      </c>
      <c r="B41" s="82" t="n">
        <f aca="false">AVERAGE(D41:H41)</f>
        <v>121.6</v>
      </c>
      <c r="C41" s="83" t="n">
        <f aca="false">AVERAGE(I41:K41)</f>
        <v>47.9666666666667</v>
      </c>
      <c r="D41" s="84"/>
      <c r="E41" s="85"/>
      <c r="F41" s="85" t="n">
        <v>128.9</v>
      </c>
      <c r="G41" s="85" t="n">
        <v>114.3</v>
      </c>
      <c r="H41" s="86"/>
      <c r="I41" s="87" t="n">
        <v>42.7</v>
      </c>
      <c r="J41" s="88" t="n">
        <v>54.6</v>
      </c>
      <c r="K41" s="88" t="n">
        <v>46.6</v>
      </c>
      <c r="L41" s="88"/>
      <c r="M41" s="89"/>
      <c r="N41" s="3"/>
      <c r="O41" s="3"/>
      <c r="P41" s="3"/>
      <c r="Q41" s="3"/>
      <c r="R41" s="3"/>
      <c r="S41" s="3"/>
      <c r="T41" s="3"/>
      <c r="U41" s="27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9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customFormat="false" ht="15.75" hidden="false" customHeight="false" outlineLevel="0" collapsed="false">
      <c r="A42" s="81" t="n">
        <v>2</v>
      </c>
      <c r="B42" s="82" t="n">
        <f aca="false">AVERAGE(D42:H42)</f>
        <v>114.433333333333</v>
      </c>
      <c r="C42" s="83" t="n">
        <f aca="false">AVERAGE(I42:K42)</f>
        <v>45.05</v>
      </c>
      <c r="D42" s="87" t="n">
        <v>91.6</v>
      </c>
      <c r="E42" s="88" t="n">
        <v>133</v>
      </c>
      <c r="F42" s="88" t="n">
        <v>118.7</v>
      </c>
      <c r="G42" s="88"/>
      <c r="H42" s="89"/>
      <c r="I42" s="87" t="n">
        <v>41.8</v>
      </c>
      <c r="J42" s="88"/>
      <c r="K42" s="88" t="n">
        <v>48.3</v>
      </c>
      <c r="L42" s="88"/>
      <c r="M42" s="89"/>
      <c r="N42" s="3"/>
      <c r="O42" s="3"/>
      <c r="P42" s="3"/>
      <c r="Q42" s="3"/>
      <c r="R42" s="3"/>
      <c r="S42" s="3"/>
      <c r="T42" s="3"/>
      <c r="U42" s="27"/>
      <c r="V42" s="28"/>
      <c r="W42" s="28"/>
      <c r="X42" s="28"/>
      <c r="Y42" s="28"/>
      <c r="Z42" s="28"/>
      <c r="AA42" s="28"/>
      <c r="AB42" s="28"/>
      <c r="AC42" s="28"/>
      <c r="AD42" s="90"/>
      <c r="AE42" s="90"/>
      <c r="AF42" s="90"/>
      <c r="AG42" s="90"/>
      <c r="AH42" s="90"/>
      <c r="AI42" s="90"/>
      <c r="AJ42" s="90"/>
      <c r="AK42" s="90"/>
      <c r="AL42" s="91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customFormat="false" ht="34.5" hidden="false" customHeight="true" outlineLevel="0" collapsed="false">
      <c r="A43" s="81" t="n">
        <v>3</v>
      </c>
      <c r="B43" s="82" t="n">
        <f aca="false">AVERAGE(D43:F43)</f>
        <v>55.6</v>
      </c>
      <c r="C43" s="83" t="n">
        <f aca="false">AVERAGE(I43:K43)</f>
        <v>43.9333333333333</v>
      </c>
      <c r="D43" s="87"/>
      <c r="E43" s="88" t="n">
        <v>52.7</v>
      </c>
      <c r="F43" s="88" t="n">
        <v>58.5</v>
      </c>
      <c r="G43" s="88" t="n">
        <v>65</v>
      </c>
      <c r="H43" s="89"/>
      <c r="I43" s="87" t="n">
        <v>42.9</v>
      </c>
      <c r="J43" s="88" t="n">
        <v>39.7</v>
      </c>
      <c r="K43" s="88" t="n">
        <v>49.2</v>
      </c>
      <c r="L43" s="88"/>
      <c r="M43" s="89"/>
      <c r="N43" s="3"/>
      <c r="O43" s="3"/>
      <c r="P43" s="3"/>
      <c r="Q43" s="3"/>
      <c r="R43" s="3"/>
      <c r="S43" s="3"/>
      <c r="T43" s="3"/>
      <c r="U43" s="92" t="s">
        <v>79</v>
      </c>
      <c r="V43" s="92"/>
      <c r="W43" s="92"/>
      <c r="X43" s="92"/>
      <c r="Y43" s="92"/>
      <c r="Z43" s="92"/>
      <c r="AA43" s="92"/>
      <c r="AB43" s="92"/>
      <c r="AC43" s="92"/>
      <c r="AD43" s="93" t="s">
        <v>80</v>
      </c>
      <c r="AE43" s="93"/>
      <c r="AF43" s="93"/>
      <c r="AG43" s="93"/>
      <c r="AH43" s="93"/>
      <c r="AI43" s="93"/>
      <c r="AJ43" s="93"/>
      <c r="AK43" s="93"/>
      <c r="AL43" s="9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customFormat="false" ht="15.75" hidden="false" customHeight="true" outlineLevel="0" collapsed="false">
      <c r="A44" s="81" t="n">
        <v>4</v>
      </c>
      <c r="B44" s="82" t="n">
        <f aca="false">AVERAGE(D44:F44)</f>
        <v>49.2</v>
      </c>
      <c r="C44" s="83" t="n">
        <f aca="false">AVERAGE(I44:K44)</f>
        <v>39.8</v>
      </c>
      <c r="D44" s="87" t="n">
        <v>54.4</v>
      </c>
      <c r="E44" s="88" t="n">
        <v>44</v>
      </c>
      <c r="F44" s="88"/>
      <c r="G44" s="88"/>
      <c r="H44" s="89" t="n">
        <v>67</v>
      </c>
      <c r="I44" s="87" t="n">
        <v>37.7</v>
      </c>
      <c r="J44" s="88" t="n">
        <v>37.1</v>
      </c>
      <c r="K44" s="88" t="n">
        <v>44.6</v>
      </c>
      <c r="L44" s="88"/>
      <c r="M44" s="89"/>
      <c r="N44" s="3"/>
      <c r="O44" s="3"/>
      <c r="P44" s="3"/>
      <c r="Q44" s="3"/>
      <c r="R44" s="3"/>
      <c r="S44" s="3"/>
      <c r="T44" s="3"/>
      <c r="U44" s="92"/>
      <c r="V44" s="92"/>
      <c r="W44" s="92"/>
      <c r="X44" s="92"/>
      <c r="Y44" s="92"/>
      <c r="Z44" s="92"/>
      <c r="AA44" s="92"/>
      <c r="AB44" s="92"/>
      <c r="AC44" s="92"/>
      <c r="AD44" s="93"/>
      <c r="AE44" s="93"/>
      <c r="AF44" s="93"/>
      <c r="AG44" s="93"/>
      <c r="AH44" s="93"/>
      <c r="AI44" s="93"/>
      <c r="AJ44" s="93"/>
      <c r="AK44" s="93"/>
      <c r="AL44" s="9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customFormat="false" ht="15.75" hidden="false" customHeight="true" outlineLevel="0" collapsed="false">
      <c r="A45" s="81" t="n">
        <v>5</v>
      </c>
      <c r="B45" s="82" t="n">
        <f aca="false">AVERAGE(E45:H45)</f>
        <v>40.55</v>
      </c>
      <c r="C45" s="83" t="n">
        <f aca="false">AVERAGE(I45:K45)</f>
        <v>34.05</v>
      </c>
      <c r="D45" s="88" t="n">
        <v>42.1</v>
      </c>
      <c r="E45" s="88" t="n">
        <v>41.7</v>
      </c>
      <c r="F45" s="89" t="n">
        <v>39.4</v>
      </c>
      <c r="G45" s="89"/>
      <c r="H45" s="89"/>
      <c r="I45" s="87" t="n">
        <v>33.1</v>
      </c>
      <c r="J45" s="88"/>
      <c r="K45" s="88" t="n">
        <v>35</v>
      </c>
      <c r="L45" s="88"/>
      <c r="M45" s="89" t="n">
        <v>43.7</v>
      </c>
      <c r="N45" s="3"/>
      <c r="O45" s="3"/>
      <c r="P45" s="3"/>
      <c r="Q45" s="3"/>
      <c r="R45" s="3"/>
      <c r="S45" s="3"/>
      <c r="T45" s="3"/>
      <c r="U45" s="27"/>
      <c r="V45" s="28"/>
      <c r="W45" s="28"/>
      <c r="X45" s="28"/>
      <c r="Y45" s="28"/>
      <c r="Z45" s="28"/>
      <c r="AA45" s="28"/>
      <c r="AB45" s="28"/>
      <c r="AC45" s="94"/>
      <c r="AD45" s="28"/>
      <c r="AE45" s="28"/>
      <c r="AF45" s="28"/>
      <c r="AG45" s="28"/>
      <c r="AH45" s="28"/>
      <c r="AI45" s="28"/>
      <c r="AJ45" s="28"/>
      <c r="AK45" s="28"/>
      <c r="AL45" s="95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customFormat="false" ht="15.75" hidden="false" customHeight="true" outlineLevel="0" collapsed="false">
      <c r="A46" s="81" t="n">
        <v>6</v>
      </c>
      <c r="B46" s="82" t="n">
        <f aca="false">AVERAGE(D46:F46)</f>
        <v>39.8333333333333</v>
      </c>
      <c r="C46" s="83" t="n">
        <f aca="false">AVERAGE(I46:M46)</f>
        <v>24.0333333333333</v>
      </c>
      <c r="D46" s="87" t="n">
        <v>39</v>
      </c>
      <c r="E46" s="88" t="n">
        <v>41</v>
      </c>
      <c r="F46" s="88" t="n">
        <v>39.5</v>
      </c>
      <c r="G46" s="88"/>
      <c r="H46" s="89"/>
      <c r="I46" s="87" t="n">
        <v>28.7</v>
      </c>
      <c r="J46" s="88" t="n">
        <v>22.4</v>
      </c>
      <c r="K46" s="88" t="n">
        <v>21</v>
      </c>
      <c r="L46" s="88"/>
      <c r="M46" s="89"/>
      <c r="N46" s="3"/>
      <c r="O46" s="3"/>
      <c r="P46" s="3"/>
      <c r="Q46" s="3"/>
      <c r="R46" s="3"/>
      <c r="S46" s="3"/>
      <c r="T46" s="3"/>
      <c r="U46" s="27"/>
      <c r="V46" s="28"/>
      <c r="W46" s="28"/>
      <c r="X46" s="28"/>
      <c r="Y46" s="28"/>
      <c r="Z46" s="28"/>
      <c r="AA46" s="28"/>
      <c r="AB46" s="28"/>
      <c r="AC46" s="94"/>
      <c r="AD46" s="28"/>
      <c r="AE46" s="28"/>
      <c r="AF46" s="28"/>
      <c r="AG46" s="28"/>
      <c r="AH46" s="28"/>
      <c r="AI46" s="28"/>
      <c r="AJ46" s="28"/>
      <c r="AK46" s="28"/>
      <c r="AL46" s="95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7"/>
      <c r="V47" s="28"/>
      <c r="W47" s="28"/>
      <c r="X47" s="96" t="s">
        <v>81</v>
      </c>
      <c r="Y47" s="96"/>
      <c r="Z47" s="96"/>
      <c r="AA47" s="28"/>
      <c r="AB47" s="28"/>
      <c r="AC47" s="94"/>
      <c r="AD47" s="28"/>
      <c r="AE47" s="28"/>
      <c r="AF47" s="28"/>
      <c r="AG47" s="28"/>
      <c r="AH47" s="28"/>
      <c r="AI47" s="28"/>
      <c r="AJ47" s="28"/>
      <c r="AK47" s="28"/>
      <c r="AL47" s="95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customFormat="false" ht="21" hidden="false" customHeight="true" outlineLevel="0" collapsed="false">
      <c r="A48" s="97" t="s">
        <v>82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3"/>
      <c r="R48" s="3"/>
      <c r="S48" s="3"/>
      <c r="T48" s="3"/>
      <c r="U48" s="27"/>
      <c r="V48" s="28"/>
      <c r="W48" s="28"/>
      <c r="X48" s="96"/>
      <c r="Y48" s="96" t="s">
        <v>18</v>
      </c>
      <c r="Z48" s="96" t="s">
        <v>83</v>
      </c>
      <c r="AA48" s="28"/>
      <c r="AB48" s="28"/>
      <c r="AC48" s="94"/>
      <c r="AD48" s="28"/>
      <c r="AE48" s="28"/>
      <c r="AF48" s="28"/>
      <c r="AG48" s="28"/>
      <c r="AH48" s="28"/>
      <c r="AI48" s="28"/>
      <c r="AJ48" s="28"/>
      <c r="AK48" s="28"/>
      <c r="AL48" s="95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customFormat="false" ht="21.75" hidden="false" customHeight="true" outlineLevel="0" collapsed="false">
      <c r="A49" s="59" t="s">
        <v>84</v>
      </c>
      <c r="B49" s="60" t="s">
        <v>85</v>
      </c>
      <c r="C49" s="60" t="s">
        <v>86</v>
      </c>
      <c r="D49" s="60" t="s">
        <v>87</v>
      </c>
      <c r="E49" s="60" t="s">
        <v>88</v>
      </c>
      <c r="F49" s="60" t="s">
        <v>89</v>
      </c>
      <c r="G49" s="60" t="s">
        <v>90</v>
      </c>
      <c r="H49" s="60" t="s">
        <v>91</v>
      </c>
      <c r="I49" s="60" t="s">
        <v>92</v>
      </c>
      <c r="J49" s="60" t="s">
        <v>93</v>
      </c>
      <c r="K49" s="60" t="s">
        <v>94</v>
      </c>
      <c r="L49" s="60" t="s">
        <v>95</v>
      </c>
      <c r="M49" s="60" t="s">
        <v>96</v>
      </c>
      <c r="N49" s="60" t="s">
        <v>97</v>
      </c>
      <c r="O49" s="60" t="s">
        <v>98</v>
      </c>
      <c r="P49" s="98" t="s">
        <v>99</v>
      </c>
      <c r="Q49" s="3"/>
      <c r="R49" s="3"/>
      <c r="S49" s="3"/>
      <c r="T49" s="3"/>
      <c r="U49" s="27"/>
      <c r="V49" s="28"/>
      <c r="W49" s="28"/>
      <c r="X49" s="99" t="s">
        <v>100</v>
      </c>
      <c r="Y49" s="99" t="s">
        <v>101</v>
      </c>
      <c r="Z49" s="99" t="s">
        <v>34</v>
      </c>
      <c r="AA49" s="28"/>
      <c r="AB49" s="28"/>
      <c r="AC49" s="94"/>
      <c r="AD49" s="28"/>
      <c r="AE49" s="28"/>
      <c r="AF49" s="28"/>
      <c r="AG49" s="28"/>
      <c r="AH49" s="28"/>
      <c r="AI49" s="28"/>
      <c r="AJ49" s="28"/>
      <c r="AK49" s="28"/>
      <c r="AL49" s="95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customFormat="false" ht="21" hidden="false" customHeight="true" outlineLevel="0" collapsed="false">
      <c r="A50" s="100" t="n">
        <v>1</v>
      </c>
      <c r="B50" s="101" t="n">
        <v>1.0936</v>
      </c>
      <c r="C50" s="101" t="n">
        <v>1.0981</v>
      </c>
      <c r="D50" s="49" t="n">
        <v>10</v>
      </c>
      <c r="E50" s="49" t="n">
        <v>10</v>
      </c>
      <c r="F50" s="102" t="n">
        <v>1.105</v>
      </c>
      <c r="G50" s="102" t="n">
        <v>1.1105</v>
      </c>
      <c r="H50" s="49" t="n">
        <v>1</v>
      </c>
      <c r="I50" s="103" t="n">
        <f aca="false">(F50-B50)*1000*H50/D50</f>
        <v>1.14000000000001</v>
      </c>
      <c r="J50" s="103" t="n">
        <f aca="false">(G50-C50)*1000*H50/E50</f>
        <v>1.24</v>
      </c>
      <c r="K50" s="104" t="n">
        <f aca="false">AVERAGE(I50:J50)</f>
        <v>1.19</v>
      </c>
      <c r="L50" s="88" t="n">
        <v>1.0952</v>
      </c>
      <c r="M50" s="88" t="n">
        <v>1.1002</v>
      </c>
      <c r="N50" s="105" t="n">
        <f aca="false">(F50-L50)/E50*1000000</f>
        <v>980.000000000003</v>
      </c>
      <c r="O50" s="53" t="n">
        <f aca="false">(G50-M50)/E50*1000000</f>
        <v>1030</v>
      </c>
      <c r="P50" s="106" t="n">
        <f aca="false">AVERAGE(N50:O50)</f>
        <v>1005</v>
      </c>
      <c r="Q50" s="3"/>
      <c r="R50" s="3"/>
      <c r="S50" s="3"/>
      <c r="T50" s="3"/>
      <c r="U50" s="27"/>
      <c r="V50" s="28"/>
      <c r="W50" s="28"/>
      <c r="X50" s="99"/>
      <c r="Y50" s="99" t="s">
        <v>102</v>
      </c>
      <c r="Z50" s="99" t="s">
        <v>103</v>
      </c>
      <c r="AA50" s="28"/>
      <c r="AB50" s="28"/>
      <c r="AC50" s="94"/>
      <c r="AD50" s="28"/>
      <c r="AE50" s="28"/>
      <c r="AF50" s="28"/>
      <c r="AG50" s="28"/>
      <c r="AH50" s="28"/>
      <c r="AI50" s="28"/>
      <c r="AJ50" s="28"/>
      <c r="AK50" s="28"/>
      <c r="AL50" s="95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customFormat="false" ht="15.75" hidden="false" customHeight="false" outlineLevel="0" collapsed="false">
      <c r="A51" s="100" t="n">
        <v>2</v>
      </c>
      <c r="B51" s="101" t="n">
        <v>1.1015</v>
      </c>
      <c r="C51" s="107" t="n">
        <v>1.1064</v>
      </c>
      <c r="D51" s="49" t="n">
        <v>10</v>
      </c>
      <c r="E51" s="49" t="n">
        <v>10</v>
      </c>
      <c r="F51" s="102" t="n">
        <v>1.1126</v>
      </c>
      <c r="G51" s="102" t="n">
        <v>1.1182</v>
      </c>
      <c r="H51" s="49" t="n">
        <v>1</v>
      </c>
      <c r="I51" s="103" t="n">
        <f aca="false">(F51-B51)*1000*H51/D51</f>
        <v>1.11000000000001</v>
      </c>
      <c r="J51" s="103" t="n">
        <f aca="false">(G51-C51)*1000*H51/E51</f>
        <v>1.18</v>
      </c>
      <c r="K51" s="104" t="n">
        <f aca="false">AVERAGE(I51:J51)</f>
        <v>1.14500000000001</v>
      </c>
      <c r="L51" s="88" t="n">
        <v>1.1024</v>
      </c>
      <c r="M51" s="88" t="n">
        <v>1.1084</v>
      </c>
      <c r="N51" s="105" t="n">
        <f aca="false">(F51-L51)/E51*1000000</f>
        <v>1020</v>
      </c>
      <c r="O51" s="53" t="n">
        <f aca="false">(G51-M51)/E51*1000000</f>
        <v>980.000000000003</v>
      </c>
      <c r="P51" s="106" t="n">
        <f aca="false">AVERAGE(N51:O51)</f>
        <v>1000</v>
      </c>
      <c r="Q51" s="3"/>
      <c r="R51" s="3"/>
      <c r="S51" s="3"/>
      <c r="T51" s="3"/>
      <c r="U51" s="27"/>
      <c r="V51" s="28"/>
      <c r="W51" s="28"/>
      <c r="X51" s="28"/>
      <c r="Y51" s="28"/>
      <c r="Z51" s="28"/>
      <c r="AA51" s="28"/>
      <c r="AB51" s="28"/>
      <c r="AC51" s="94"/>
      <c r="AD51" s="28"/>
      <c r="AE51" s="28"/>
      <c r="AF51" s="28"/>
      <c r="AG51" s="28"/>
      <c r="AH51" s="28"/>
      <c r="AI51" s="28"/>
      <c r="AJ51" s="28"/>
      <c r="AK51" s="28"/>
      <c r="AL51" s="95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customFormat="false" ht="15.75" hidden="false" customHeight="false" outlineLevel="0" collapsed="false">
      <c r="A52" s="100" t="n">
        <v>3</v>
      </c>
      <c r="B52" s="101" t="n">
        <v>1.1183</v>
      </c>
      <c r="C52" s="81" t="n">
        <v>1.12</v>
      </c>
      <c r="D52" s="49" t="n">
        <v>10</v>
      </c>
      <c r="E52" s="49" t="n">
        <v>10</v>
      </c>
      <c r="F52" s="102" t="n">
        <v>1.127</v>
      </c>
      <c r="G52" s="102" t="n">
        <v>1.131</v>
      </c>
      <c r="H52" s="49" t="n">
        <v>1</v>
      </c>
      <c r="I52" s="103" t="n">
        <f aca="false">(F52-B52)*1000*H52/D52</f>
        <v>0.869999999999993</v>
      </c>
      <c r="J52" s="103" t="n">
        <f aca="false">(G52-C52)*1000*H52/E52</f>
        <v>1.09999999999999</v>
      </c>
      <c r="K52" s="104" t="n">
        <f aca="false">AVERAGE(I52:J52)</f>
        <v>0.984999999999991</v>
      </c>
      <c r="L52" s="88" t="n">
        <v>1.1185</v>
      </c>
      <c r="M52" s="88" t="n">
        <v>1.122</v>
      </c>
      <c r="N52" s="105" t="n">
        <f aca="false">(F52-L52)/E52*1000000</f>
        <v>849.999999999995</v>
      </c>
      <c r="O52" s="53" t="n">
        <f aca="false">(G52-M52)/E52*1000000</f>
        <v>899.99999999999</v>
      </c>
      <c r="P52" s="106" t="n">
        <f aca="false">AVERAGE(N52:O52)</f>
        <v>874.999999999993</v>
      </c>
      <c r="Q52" s="3"/>
      <c r="R52" s="3"/>
      <c r="S52" s="3"/>
      <c r="T52" s="3"/>
      <c r="U52" s="27"/>
      <c r="V52" s="108" t="s">
        <v>5</v>
      </c>
      <c r="W52" s="108"/>
      <c r="X52" s="108"/>
      <c r="Y52" s="108"/>
      <c r="Z52" s="108"/>
      <c r="AA52" s="28"/>
      <c r="AB52" s="28"/>
      <c r="AC52" s="94"/>
      <c r="AD52" s="28"/>
      <c r="AE52" s="28"/>
      <c r="AF52" s="28"/>
      <c r="AG52" s="28"/>
      <c r="AH52" s="28"/>
      <c r="AI52" s="28"/>
      <c r="AJ52" s="28"/>
      <c r="AK52" s="28"/>
      <c r="AL52" s="95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customFormat="false" ht="15.75" hidden="false" customHeight="false" outlineLevel="0" collapsed="false">
      <c r="A53" s="100" t="n">
        <v>4</v>
      </c>
      <c r="B53" s="107" t="n">
        <v>1.1297</v>
      </c>
      <c r="C53" s="109" t="n">
        <v>1.1231</v>
      </c>
      <c r="D53" s="49" t="n">
        <v>10</v>
      </c>
      <c r="E53" s="49" t="n">
        <v>10</v>
      </c>
      <c r="F53" s="102" t="n">
        <v>1.1364</v>
      </c>
      <c r="G53" s="102" t="n">
        <v>1.1305</v>
      </c>
      <c r="H53" s="49" t="n">
        <v>1</v>
      </c>
      <c r="I53" s="103" t="n">
        <f aca="false">(F53-B53)*1000*H53/D53</f>
        <v>0.670000000000015</v>
      </c>
      <c r="J53" s="103" t="n">
        <f aca="false">(G53-C53)*1000*H53/E53</f>
        <v>0.740000000000007</v>
      </c>
      <c r="K53" s="104" t="n">
        <f aca="false">AVERAGE(I53:J53)</f>
        <v>0.705000000000011</v>
      </c>
      <c r="L53" s="88" t="n">
        <v>1.1303</v>
      </c>
      <c r="M53" s="88" t="n">
        <v>1.1242</v>
      </c>
      <c r="N53" s="105" t="n">
        <f aca="false">(F53-L53)/E53*1000000</f>
        <v>609.999999999999</v>
      </c>
      <c r="O53" s="53" t="n">
        <f aca="false">(G53-M53)/E53*1000000</f>
        <v>629.999999999997</v>
      </c>
      <c r="P53" s="106" t="n">
        <f aca="false">AVERAGE(N53:O53)</f>
        <v>619.999999999998</v>
      </c>
      <c r="Q53" s="3"/>
      <c r="R53" s="3"/>
      <c r="S53" s="3"/>
      <c r="T53" s="3"/>
      <c r="U53" s="27"/>
      <c r="V53" s="110"/>
      <c r="W53" s="111"/>
      <c r="X53" s="111"/>
      <c r="Y53" s="112" t="s">
        <v>9</v>
      </c>
      <c r="Z53" s="113"/>
      <c r="AA53" s="28"/>
      <c r="AB53" s="28"/>
      <c r="AC53" s="94"/>
      <c r="AD53" s="28"/>
      <c r="AE53" s="28"/>
      <c r="AF53" s="28"/>
      <c r="AG53" s="28"/>
      <c r="AH53" s="28"/>
      <c r="AI53" s="28"/>
      <c r="AJ53" s="28"/>
      <c r="AK53" s="28"/>
      <c r="AL53" s="29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customFormat="false" ht="15.75" hidden="false" customHeight="false" outlineLevel="0" collapsed="false">
      <c r="A54" s="100" t="n">
        <v>5</v>
      </c>
      <c r="B54" s="107" t="n">
        <v>1.1131</v>
      </c>
      <c r="C54" s="109" t="n">
        <v>1.1171</v>
      </c>
      <c r="D54" s="49" t="n">
        <v>10</v>
      </c>
      <c r="E54" s="49" t="n">
        <v>10</v>
      </c>
      <c r="F54" s="102" t="n">
        <v>1.1213</v>
      </c>
      <c r="G54" s="102" t="n">
        <v>1.1251</v>
      </c>
      <c r="H54" s="49" t="n">
        <v>1</v>
      </c>
      <c r="I54" s="103" t="n">
        <f aca="false">(F54-B54)*1000*H54/D54</f>
        <v>0.819999999999999</v>
      </c>
      <c r="J54" s="103" t="n">
        <f aca="false">(G54-C54)*1000*H54/E54</f>
        <v>0.800000000000001</v>
      </c>
      <c r="K54" s="104" t="n">
        <f aca="false">AVERAGE(I54:J54)</f>
        <v>0.81</v>
      </c>
      <c r="L54" s="88" t="n">
        <v>1.1134</v>
      </c>
      <c r="M54" s="88" t="n">
        <v>1.1179</v>
      </c>
      <c r="N54" s="105" t="n">
        <f aca="false">(F54-L54)/E54*1000000</f>
        <v>790.000000000002</v>
      </c>
      <c r="O54" s="53" t="n">
        <f aca="false">(G54-M54)/E54*1000000</f>
        <v>720.000000000009</v>
      </c>
      <c r="P54" s="106" t="n">
        <f aca="false">AVERAGE(N54:O54)</f>
        <v>755.000000000006</v>
      </c>
      <c r="Q54" s="3"/>
      <c r="R54" s="3"/>
      <c r="S54" s="3"/>
      <c r="T54" s="3"/>
      <c r="U54" s="27"/>
      <c r="V54" s="114"/>
      <c r="W54" s="115" t="s">
        <v>12</v>
      </c>
      <c r="X54" s="115" t="s">
        <v>13</v>
      </c>
      <c r="Y54" s="115" t="s">
        <v>14</v>
      </c>
      <c r="Z54" s="116" t="s">
        <v>15</v>
      </c>
      <c r="AA54" s="28"/>
      <c r="AB54" s="28"/>
      <c r="AC54" s="94"/>
      <c r="AD54" s="28"/>
      <c r="AE54" s="28"/>
      <c r="AF54" s="28"/>
      <c r="AG54" s="117"/>
      <c r="AH54" s="28"/>
      <c r="AI54" s="28"/>
      <c r="AJ54" s="28"/>
      <c r="AK54" s="28"/>
      <c r="AL54" s="29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customFormat="false" ht="15.75" hidden="false" customHeight="false" outlineLevel="0" collapsed="false">
      <c r="A55" s="118" t="n">
        <v>6</v>
      </c>
      <c r="B55" s="107" t="n">
        <v>1.1061</v>
      </c>
      <c r="C55" s="109" t="n">
        <v>1.1164</v>
      </c>
      <c r="D55" s="49" t="n">
        <v>10</v>
      </c>
      <c r="E55" s="49" t="n">
        <v>10</v>
      </c>
      <c r="F55" s="119" t="n">
        <v>1.1103</v>
      </c>
      <c r="G55" s="119" t="n">
        <v>1.1207</v>
      </c>
      <c r="H55" s="49" t="n">
        <v>1</v>
      </c>
      <c r="I55" s="103" t="n">
        <f aca="false">(F55-B55)*1000*H55/D55</f>
        <v>0.419999999999998</v>
      </c>
      <c r="J55" s="103" t="n">
        <f aca="false">(G55-C55)*1000*H55/E55</f>
        <v>0.429999999999997</v>
      </c>
      <c r="K55" s="104" t="n">
        <f aca="false">AVERAGE(I55:J55)</f>
        <v>0.424999999999998</v>
      </c>
      <c r="L55" s="120" t="n">
        <v>1.1065</v>
      </c>
      <c r="M55" s="120" t="n">
        <v>1.1169</v>
      </c>
      <c r="N55" s="105" t="n">
        <f aca="false">(F55-L55)/E55*1000000</f>
        <v>380.000000000003</v>
      </c>
      <c r="O55" s="53" t="n">
        <f aca="false">(G55-M55)/E55*1000000</f>
        <v>380.000000000003</v>
      </c>
      <c r="P55" s="106" t="n">
        <f aca="false">AVERAGE(N55:O55)</f>
        <v>380.000000000003</v>
      </c>
      <c r="Q55" s="3"/>
      <c r="R55" s="3"/>
      <c r="S55" s="3"/>
      <c r="T55" s="3"/>
      <c r="U55" s="27"/>
      <c r="V55" s="114"/>
      <c r="W55" s="115"/>
      <c r="X55" s="115"/>
      <c r="Y55" s="115"/>
      <c r="Z55" s="116"/>
      <c r="AA55" s="28"/>
      <c r="AB55" s="28"/>
      <c r="AC55" s="94"/>
      <c r="AD55" s="28"/>
      <c r="AE55" s="28"/>
      <c r="AF55" s="28"/>
      <c r="AG55" s="117"/>
      <c r="AH55" s="28"/>
      <c r="AI55" s="28"/>
      <c r="AJ55" s="28"/>
      <c r="AK55" s="28"/>
      <c r="AL55" s="29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customFormat="false" ht="40.5" hidden="false" customHeight="true" outlineLevel="0" collapsed="false">
      <c r="A56" s="121" t="s">
        <v>104</v>
      </c>
      <c r="B56" s="107" t="n">
        <v>1.102</v>
      </c>
      <c r="C56" s="109" t="n">
        <v>1.1056</v>
      </c>
      <c r="D56" s="122" t="n">
        <v>10</v>
      </c>
      <c r="E56" s="122" t="n">
        <v>10</v>
      </c>
      <c r="F56" s="123" t="n">
        <v>1.1079</v>
      </c>
      <c r="G56" s="123" t="n">
        <v>1.1134</v>
      </c>
      <c r="H56" s="49" t="n">
        <v>1</v>
      </c>
      <c r="I56" s="103" t="n">
        <f aca="false">(F56-B56)*1000*H56/D56</f>
        <v>0.590000000000002</v>
      </c>
      <c r="J56" s="103" t="n">
        <f aca="false">(G56-C56)*1000*H56/E56</f>
        <v>0.780000000000003</v>
      </c>
      <c r="K56" s="104" t="n">
        <f aca="false">AVERAGE(I56:J56)</f>
        <v>0.685000000000002</v>
      </c>
      <c r="L56" s="124" t="n">
        <v>1.1022</v>
      </c>
      <c r="M56" s="124" t="n">
        <v>1.1071</v>
      </c>
      <c r="N56" s="55" t="n">
        <f aca="false">(F56-L56)/E56*1000000</f>
        <v>570.000000000004</v>
      </c>
      <c r="O56" s="53" t="n">
        <f aca="false">(G56-M56)/E56*1000000</f>
        <v>629.999999999997</v>
      </c>
      <c r="P56" s="106" t="n">
        <f aca="false">AVERAGE(N56:O56)</f>
        <v>600.000000000001</v>
      </c>
      <c r="Q56" s="3"/>
      <c r="R56" s="3"/>
      <c r="S56" s="3"/>
      <c r="T56" s="3"/>
      <c r="U56" s="27"/>
      <c r="V56" s="114" t="s">
        <v>18</v>
      </c>
      <c r="W56" s="112" t="s">
        <v>19</v>
      </c>
      <c r="X56" s="125" t="n">
        <f aca="false">H10</f>
        <v>3.50845986784295</v>
      </c>
      <c r="Y56" s="126"/>
      <c r="Z56" s="127"/>
      <c r="AA56" s="28"/>
      <c r="AB56" s="28"/>
      <c r="AC56" s="94"/>
      <c r="AD56" s="28"/>
      <c r="AE56" s="28"/>
      <c r="AF56" s="28"/>
      <c r="AG56" s="28"/>
      <c r="AH56" s="28"/>
      <c r="AI56" s="28"/>
      <c r="AJ56" s="28"/>
      <c r="AK56" s="28"/>
      <c r="AL56" s="29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customFormat="false" ht="34.5" hidden="false" customHeight="true" outlineLevel="0" collapsed="false">
      <c r="A57" s="3" t="s">
        <v>105</v>
      </c>
      <c r="B57" s="3"/>
      <c r="C57" s="128"/>
      <c r="D57" s="12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7"/>
      <c r="V57" s="114" t="s">
        <v>22</v>
      </c>
      <c r="W57" s="112" t="s">
        <v>106</v>
      </c>
      <c r="X57" s="129" t="n">
        <f aca="false">H11</f>
        <v>0.165</v>
      </c>
      <c r="Y57" s="129" t="n">
        <f aca="false">I11</f>
        <v>0.165</v>
      </c>
      <c r="Z57" s="130" t="n">
        <f aca="false">J11</f>
        <v>0.165</v>
      </c>
      <c r="AA57" s="28"/>
      <c r="AB57" s="28"/>
      <c r="AC57" s="94"/>
      <c r="AD57" s="28"/>
      <c r="AE57" s="28"/>
      <c r="AF57" s="28"/>
      <c r="AG57" s="28"/>
      <c r="AH57" s="28"/>
      <c r="AI57" s="28"/>
      <c r="AJ57" s="28"/>
      <c r="AK57" s="28"/>
      <c r="AL57" s="29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7"/>
      <c r="V58" s="114" t="s">
        <v>26</v>
      </c>
      <c r="W58" s="112" t="s">
        <v>27</v>
      </c>
      <c r="X58" s="131" t="n">
        <f aca="false">H12</f>
        <v>21.7108650114198</v>
      </c>
      <c r="Y58" s="131" t="n">
        <f aca="false">I12</f>
        <v>26.6031286651348</v>
      </c>
      <c r="Z58" s="131" t="n">
        <f aca="false">J12</f>
        <v>23.8996597132248</v>
      </c>
      <c r="AA58" s="28"/>
      <c r="AB58" s="28"/>
      <c r="AC58" s="94"/>
      <c r="AD58" s="28"/>
      <c r="AE58" s="28"/>
      <c r="AF58" s="28"/>
      <c r="AG58" s="28"/>
      <c r="AH58" s="28"/>
      <c r="AI58" s="28"/>
      <c r="AJ58" s="28"/>
      <c r="AK58" s="28"/>
      <c r="AL58" s="29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customFormat="false" ht="15.75" hidden="false" customHeight="false" outlineLevel="0" collapsed="false">
      <c r="A59" s="132" t="s">
        <v>107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3"/>
      <c r="Q59" s="3"/>
      <c r="R59" s="3"/>
      <c r="S59" s="3"/>
      <c r="T59" s="3"/>
      <c r="U59" s="27"/>
      <c r="V59" s="114" t="s">
        <v>30</v>
      </c>
      <c r="W59" s="112" t="s">
        <v>19</v>
      </c>
      <c r="X59" s="126" t="n">
        <f aca="false">H13</f>
        <v>28.6676867819035</v>
      </c>
      <c r="Y59" s="133" t="n">
        <f aca="false">I13</f>
        <v>26.0874288997117</v>
      </c>
      <c r="Z59" s="134" t="n">
        <f aca="false">J13</f>
        <v>29.747240591983</v>
      </c>
      <c r="AA59" s="28"/>
      <c r="AB59" s="28"/>
      <c r="AC59" s="94"/>
      <c r="AD59" s="28"/>
      <c r="AE59" s="28"/>
      <c r="AF59" s="28"/>
      <c r="AG59" s="28"/>
      <c r="AH59" s="28"/>
      <c r="AI59" s="28"/>
      <c r="AJ59" s="28"/>
      <c r="AK59" s="28"/>
      <c r="AL59" s="29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customFormat="false" ht="17.9" hidden="false" customHeight="false" outlineLevel="0" collapsed="false">
      <c r="A60" s="59" t="s">
        <v>84</v>
      </c>
      <c r="B60" s="60" t="s">
        <v>108</v>
      </c>
      <c r="C60" s="60" t="s">
        <v>109</v>
      </c>
      <c r="D60" s="60" t="s">
        <v>110</v>
      </c>
      <c r="E60" s="60" t="s">
        <v>111</v>
      </c>
      <c r="F60" s="60" t="s">
        <v>89</v>
      </c>
      <c r="G60" s="60" t="s">
        <v>90</v>
      </c>
      <c r="H60" s="60" t="s">
        <v>112</v>
      </c>
      <c r="I60" s="60" t="s">
        <v>113</v>
      </c>
      <c r="J60" s="60" t="s">
        <v>114</v>
      </c>
      <c r="K60" s="60" t="s">
        <v>95</v>
      </c>
      <c r="L60" s="60" t="s">
        <v>96</v>
      </c>
      <c r="M60" s="60" t="s">
        <v>115</v>
      </c>
      <c r="N60" s="60" t="s">
        <v>116</v>
      </c>
      <c r="O60" s="98" t="s">
        <v>117</v>
      </c>
      <c r="P60" s="3"/>
      <c r="Q60" s="3"/>
      <c r="R60" s="3"/>
      <c r="S60" s="3"/>
      <c r="T60" s="3"/>
      <c r="U60" s="27"/>
      <c r="V60" s="135" t="s">
        <v>33</v>
      </c>
      <c r="W60" s="136" t="s">
        <v>34</v>
      </c>
      <c r="X60" s="137" t="n">
        <f aca="false">H14</f>
        <v>600.000000000001</v>
      </c>
      <c r="Y60" s="137" t="n">
        <f aca="false">I14</f>
        <v>810</v>
      </c>
      <c r="Z60" s="138" t="n">
        <f aca="false">J14</f>
        <v>705.000000000011</v>
      </c>
      <c r="AA60" s="28"/>
      <c r="AB60" s="28"/>
      <c r="AC60" s="94"/>
      <c r="AD60" s="28"/>
      <c r="AE60" s="28"/>
      <c r="AF60" s="28"/>
      <c r="AG60" s="28"/>
      <c r="AH60" s="28"/>
      <c r="AI60" s="28"/>
      <c r="AJ60" s="28"/>
      <c r="AK60" s="28"/>
      <c r="AL60" s="29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customFormat="false" ht="15.75" hidden="false" customHeight="false" outlineLevel="0" collapsed="false">
      <c r="A61" s="100" t="n">
        <v>1</v>
      </c>
      <c r="B61" s="139" t="n">
        <v>0.9859</v>
      </c>
      <c r="C61" s="139" t="n">
        <v>0.9891</v>
      </c>
      <c r="D61" s="139" t="n">
        <v>5.07</v>
      </c>
      <c r="E61" s="139" t="n">
        <v>5.1332</v>
      </c>
      <c r="F61" s="140" t="n">
        <v>2.1986</v>
      </c>
      <c r="G61" s="141" t="n">
        <v>2.2118</v>
      </c>
      <c r="H61" s="72" t="n">
        <f aca="false">(F61-B61)*100/(D61-B61)</f>
        <v>29.6932004603217</v>
      </c>
      <c r="I61" s="72" t="n">
        <f aca="false">(G61-C61)*100/(E61-C61)</f>
        <v>29.504596896793</v>
      </c>
      <c r="J61" s="72" t="n">
        <f aca="false">AVERAGE(H61:I61)</f>
        <v>29.5988986785574</v>
      </c>
      <c r="K61" s="88" t="n">
        <v>1.4211</v>
      </c>
      <c r="L61" s="88" t="n">
        <v>1.428</v>
      </c>
      <c r="M61" s="72" t="n">
        <f aca="false">((F61-K61)/D61)*100</f>
        <v>15.3353057199211</v>
      </c>
      <c r="N61" s="72" t="n">
        <f aca="false">((G61-L61)/E61)*100</f>
        <v>15.2692277721499</v>
      </c>
      <c r="O61" s="142" t="n">
        <f aca="false">AVERAGE(M61:N61)</f>
        <v>15.3022667460355</v>
      </c>
      <c r="P61" s="3"/>
      <c r="Q61" s="3"/>
      <c r="R61" s="3"/>
      <c r="S61" s="3"/>
      <c r="T61" s="3"/>
      <c r="U61" s="143"/>
      <c r="V61" s="144"/>
      <c r="W61" s="144"/>
      <c r="X61" s="144"/>
      <c r="Y61" s="144"/>
      <c r="Z61" s="144"/>
      <c r="AA61" s="144"/>
      <c r="AB61" s="144"/>
      <c r="AC61" s="145"/>
      <c r="AD61" s="144"/>
      <c r="AE61" s="144"/>
      <c r="AF61" s="144"/>
      <c r="AG61" s="144"/>
      <c r="AH61" s="146"/>
      <c r="AI61" s="144"/>
      <c r="AJ61" s="144"/>
      <c r="AK61" s="144"/>
      <c r="AL61" s="147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customFormat="false" ht="15.75" hidden="false" customHeight="false" outlineLevel="0" collapsed="false">
      <c r="A62" s="100" t="n">
        <v>2</v>
      </c>
      <c r="B62" s="141" t="n">
        <v>0.9919</v>
      </c>
      <c r="C62" s="141" t="n">
        <v>0.9909</v>
      </c>
      <c r="D62" s="141" t="n">
        <v>5.1155</v>
      </c>
      <c r="E62" s="141" t="n">
        <v>5.1928</v>
      </c>
      <c r="F62" s="140" t="n">
        <v>2.174</v>
      </c>
      <c r="G62" s="141" t="n">
        <v>2.1693</v>
      </c>
      <c r="H62" s="72" t="n">
        <f aca="false">(F62-B62)*100/(D62-B62)</f>
        <v>28.666699000873</v>
      </c>
      <c r="I62" s="72" t="n">
        <f aca="false">(G62-C62)*100/(E62-C62)</f>
        <v>28.0444560793927</v>
      </c>
      <c r="J62" s="72" t="n">
        <f aca="false">AVERAGE(H62:I62)</f>
        <v>28.3555775401328</v>
      </c>
      <c r="K62" s="148" t="n">
        <v>1.4224</v>
      </c>
      <c r="L62" s="148" t="n">
        <v>1.4178</v>
      </c>
      <c r="M62" s="72" t="n">
        <f aca="false">((F62-K62)/D62)*100</f>
        <v>14.6926009187763</v>
      </c>
      <c r="N62" s="72" t="n">
        <f aca="false">((G62-L62)/E62)*100</f>
        <v>14.4719611770143</v>
      </c>
      <c r="O62" s="142" t="n">
        <f aca="false">AVERAGE(M62:N62)</f>
        <v>14.5822810478953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customFormat="false" ht="15.75" hidden="false" customHeight="false" outlineLevel="0" collapsed="false">
      <c r="A63" s="100" t="n">
        <v>3</v>
      </c>
      <c r="B63" s="141" t="n">
        <v>1.0131</v>
      </c>
      <c r="C63" s="141" t="n">
        <v>0.9908</v>
      </c>
      <c r="D63" s="141" t="n">
        <v>5.058</v>
      </c>
      <c r="E63" s="141" t="n">
        <v>5.504</v>
      </c>
      <c r="F63" s="140" t="n">
        <v>2.152</v>
      </c>
      <c r="G63" s="141" t="n">
        <v>2.3096</v>
      </c>
      <c r="H63" s="72" t="n">
        <f aca="false">(F63-B63)*100/(D63-B63)</f>
        <v>28.1564439170313</v>
      </c>
      <c r="I63" s="72" t="n">
        <f aca="false">(G63-C63)*100/(E63-C63)</f>
        <v>29.2209518745015</v>
      </c>
      <c r="J63" s="72" t="n">
        <f aca="false">AVERAGE(H63:I63)</f>
        <v>28.6886978957664</v>
      </c>
      <c r="K63" s="148" t="n">
        <v>1.431</v>
      </c>
      <c r="L63" s="148" t="n">
        <v>1.4774</v>
      </c>
      <c r="M63" s="72" t="n">
        <f aca="false">((F63-K63)/D63)*100</f>
        <v>14.2546461051799</v>
      </c>
      <c r="N63" s="72" t="n">
        <f aca="false">((G63-L63)/E63)*100</f>
        <v>15.1199127906977</v>
      </c>
      <c r="O63" s="142" t="n">
        <f aca="false">AVERAGE(M63:N63)</f>
        <v>14.6872794479388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customFormat="false" ht="24" hidden="false" customHeight="true" outlineLevel="0" collapsed="false">
      <c r="A64" s="100" t="n">
        <v>4</v>
      </c>
      <c r="B64" s="149" t="n">
        <v>0.9809</v>
      </c>
      <c r="C64" s="149" t="n">
        <v>0.9809</v>
      </c>
      <c r="D64" s="149" t="n">
        <v>5.1914</v>
      </c>
      <c r="E64" s="149" t="n">
        <v>5.1421</v>
      </c>
      <c r="F64" s="150" t="n">
        <v>2.2377</v>
      </c>
      <c r="G64" s="149" t="n">
        <v>2.2145</v>
      </c>
      <c r="H64" s="72" t="n">
        <f aca="false">(F64-B64)*100/(D64-B64)</f>
        <v>29.849186557416</v>
      </c>
      <c r="I64" s="72" t="n">
        <f aca="false">(G64-C64)*100/(E64-C64)</f>
        <v>29.64529462655</v>
      </c>
      <c r="J64" s="72" t="n">
        <f aca="false">AVERAGE(H64:I64)</f>
        <v>29.747240591983</v>
      </c>
      <c r="K64" s="148" t="n">
        <v>1.4405</v>
      </c>
      <c r="L64" s="148" t="n">
        <v>1.4358</v>
      </c>
      <c r="M64" s="72" t="n">
        <f aca="false">((F64-K64)/D64)*100</f>
        <v>15.3561659667912</v>
      </c>
      <c r="N64" s="72" t="n">
        <f aca="false">((G64-L64)/E64)*100</f>
        <v>15.1436183660372</v>
      </c>
      <c r="O64" s="142" t="n">
        <f aca="false">AVERAGE(M64:N64)</f>
        <v>15.2498921664142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customFormat="false" ht="15.75" hidden="false" customHeight="false" outlineLevel="0" collapsed="false">
      <c r="A65" s="100" t="n">
        <v>5</v>
      </c>
      <c r="B65" s="149" t="n">
        <v>0.9794</v>
      </c>
      <c r="C65" s="149" t="n">
        <v>0.9999</v>
      </c>
      <c r="D65" s="149" t="n">
        <v>5.2653</v>
      </c>
      <c r="E65" s="149" t="n">
        <v>5.1175</v>
      </c>
      <c r="F65" s="150" t="n">
        <v>2.1164</v>
      </c>
      <c r="G65" s="149" t="n">
        <v>2.0559</v>
      </c>
      <c r="H65" s="72" t="n">
        <f aca="false">(F65-B65)*100/(D65-B65)</f>
        <v>26.528850416482</v>
      </c>
      <c r="I65" s="72" t="n">
        <f aca="false">(G65-C65)*100/(E65-C65)</f>
        <v>25.6460073829415</v>
      </c>
      <c r="J65" s="72" t="n">
        <f aca="false">AVERAGE(H65:I65)</f>
        <v>26.0874288997117</v>
      </c>
      <c r="K65" s="148" t="n">
        <v>1.3894</v>
      </c>
      <c r="L65" s="148" t="n">
        <v>1.3804</v>
      </c>
      <c r="M65" s="72" t="n">
        <f aca="false">((F65-K65)/D65)*100</f>
        <v>13.8073803961788</v>
      </c>
      <c r="N65" s="72" t="n">
        <f aca="false">((G65-L65)/E65)*100</f>
        <v>13.199804592086</v>
      </c>
      <c r="O65" s="142" t="n">
        <f aca="false">AVERAGE(M65:N65)</f>
        <v>13.5035924941324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customFormat="false" ht="15.75" hidden="false" customHeight="false" outlineLevel="0" collapsed="false">
      <c r="A66" s="100" t="n">
        <v>6</v>
      </c>
      <c r="B66" s="149" t="n">
        <v>0.9806</v>
      </c>
      <c r="C66" s="149" t="n">
        <v>0.9845</v>
      </c>
      <c r="D66" s="149" t="n">
        <v>5.1728</v>
      </c>
      <c r="E66" s="149" t="n">
        <v>5.0518</v>
      </c>
      <c r="F66" s="150" t="n">
        <v>2.2263</v>
      </c>
      <c r="G66" s="149" t="n">
        <v>2.1789</v>
      </c>
      <c r="H66" s="72" t="n">
        <f aca="false">(F66-B66)*100/(D66-B66)</f>
        <v>29.7147082677353</v>
      </c>
      <c r="I66" s="72" t="n">
        <f aca="false">(G66-C66)*100/(E66-C66)</f>
        <v>29.3659184225407</v>
      </c>
      <c r="J66" s="72" t="n">
        <f aca="false">AVERAGE(H66:I66)</f>
        <v>29.540313345138</v>
      </c>
      <c r="K66" s="148" t="n">
        <v>1.4311</v>
      </c>
      <c r="L66" s="148" t="n">
        <v>1.4147</v>
      </c>
      <c r="M66" s="72" t="n">
        <f aca="false">((F66-K66)/D66)*100</f>
        <v>15.3727188369935</v>
      </c>
      <c r="N66" s="72" t="n">
        <f aca="false">((G66-L66)/E66)*100</f>
        <v>15.127281365058</v>
      </c>
      <c r="O66" s="142" t="n">
        <f aca="false">AVERAGE(M66:N66)</f>
        <v>15.2500001010258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customFormat="false" ht="15.75" hidden="false" customHeight="false" outlineLevel="0" collapsed="false">
      <c r="A67" s="151" t="s">
        <v>118</v>
      </c>
      <c r="B67" s="149" t="n">
        <v>0.9868</v>
      </c>
      <c r="C67" s="149" t="n">
        <v>0.9974</v>
      </c>
      <c r="D67" s="149" t="n">
        <v>5.2389</v>
      </c>
      <c r="E67" s="149" t="n">
        <v>5.0126</v>
      </c>
      <c r="F67" s="149" t="n">
        <v>2.2032</v>
      </c>
      <c r="G67" s="149" t="n">
        <v>2.1509</v>
      </c>
      <c r="H67" s="72" t="n">
        <f aca="false">(F67-B67)*100/(D67-B67)</f>
        <v>28.607041226688</v>
      </c>
      <c r="I67" s="72" t="n">
        <f aca="false">(G67-C67)*100/(E67-C67)</f>
        <v>28.728332337119</v>
      </c>
      <c r="J67" s="72" t="n">
        <f aca="false">AVERAGE(H67:I67)</f>
        <v>28.6676867819035</v>
      </c>
      <c r="K67" s="148" t="n">
        <v>1.4345</v>
      </c>
      <c r="L67" s="148" t="n">
        <v>1.425</v>
      </c>
      <c r="M67" s="72" t="n">
        <f aca="false">((F67-K67)/D67)*100</f>
        <v>14.6729275229533</v>
      </c>
      <c r="N67" s="72" t="n">
        <f aca="false">((G67-L67)/E67)*100</f>
        <v>14.4815066033595</v>
      </c>
      <c r="O67" s="142" t="n">
        <f aca="false">AVERAGE(M67:N67)</f>
        <v>14.5772170631564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customFormat="false" ht="15.75" hidden="false" customHeight="false" outlineLevel="0" collapsed="false">
      <c r="A68" s="121" t="s">
        <v>119</v>
      </c>
      <c r="B68" s="152" t="n">
        <v>1.0107</v>
      </c>
      <c r="C68" s="152" t="n">
        <v>1.0055</v>
      </c>
      <c r="D68" s="152" t="n">
        <v>5.2604</v>
      </c>
      <c r="E68" s="152" t="n">
        <v>5.0626</v>
      </c>
      <c r="F68" s="152" t="n">
        <v>1.1589</v>
      </c>
      <c r="G68" s="152" t="n">
        <v>1.1487</v>
      </c>
      <c r="H68" s="72" t="n">
        <f aca="false">(F68-B68)*100/(D68-B68)</f>
        <v>3.48730498623433</v>
      </c>
      <c r="I68" s="72" t="n">
        <f aca="false">(G68-C68)*100/(E68-C68)</f>
        <v>3.52961474945158</v>
      </c>
      <c r="J68" s="72" t="n">
        <f aca="false">AVERAGE(H68:I68)</f>
        <v>3.50845986784295</v>
      </c>
      <c r="K68" s="153" t="n">
        <v>1.0619</v>
      </c>
      <c r="L68" s="153" t="n">
        <v>1.0559</v>
      </c>
      <c r="M68" s="154" t="n">
        <f aca="false">((F68-K68)/D68)*100</f>
        <v>1.84396623830887</v>
      </c>
      <c r="N68" s="154" t="n">
        <f aca="false">((G68-L68)/E68)*100</f>
        <v>1.83305021135385</v>
      </c>
      <c r="O68" s="155" t="n">
        <f aca="false">AVERAGE(M68:N68)</f>
        <v>1.83850822483136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70" s="175" customFormat="true" ht="99" hidden="false" customHeight="true" outlineLevel="0" collapsed="false">
      <c r="A70" s="156" t="s">
        <v>64</v>
      </c>
      <c r="B70" s="157" t="s">
        <v>120</v>
      </c>
      <c r="C70" s="157" t="s">
        <v>121</v>
      </c>
      <c r="D70" s="158" t="s">
        <v>122</v>
      </c>
      <c r="E70" s="159" t="s">
        <v>123</v>
      </c>
      <c r="F70" s="160" t="s">
        <v>124</v>
      </c>
      <c r="G70" s="161" t="s">
        <v>125</v>
      </c>
      <c r="H70" s="158" t="s">
        <v>126</v>
      </c>
      <c r="I70" s="162" t="s">
        <v>127</v>
      </c>
      <c r="J70" s="163" t="s">
        <v>128</v>
      </c>
      <c r="K70" s="163" t="s">
        <v>129</v>
      </c>
      <c r="L70" s="163" t="s">
        <v>130</v>
      </c>
      <c r="M70" s="164" t="s">
        <v>128</v>
      </c>
      <c r="N70" s="164" t="s">
        <v>129</v>
      </c>
      <c r="O70" s="164" t="s">
        <v>130</v>
      </c>
      <c r="P70" s="164" t="s">
        <v>131</v>
      </c>
      <c r="Q70" s="165" t="s">
        <v>132</v>
      </c>
      <c r="R70" s="166" t="s">
        <v>124</v>
      </c>
      <c r="S70" s="167" t="s">
        <v>125</v>
      </c>
      <c r="T70" s="168" t="s">
        <v>126</v>
      </c>
      <c r="U70" s="167" t="s">
        <v>127</v>
      </c>
      <c r="V70" s="168" t="s">
        <v>128</v>
      </c>
      <c r="W70" s="168" t="s">
        <v>129</v>
      </c>
      <c r="X70" s="168" t="s">
        <v>130</v>
      </c>
      <c r="Y70" s="169" t="s">
        <v>128</v>
      </c>
      <c r="Z70" s="169" t="s">
        <v>129</v>
      </c>
      <c r="AA70" s="169" t="s">
        <v>130</v>
      </c>
      <c r="AB70" s="170"/>
      <c r="AC70" s="171" t="s">
        <v>133</v>
      </c>
      <c r="AD70" s="160" t="s">
        <v>124</v>
      </c>
      <c r="AE70" s="161" t="s">
        <v>125</v>
      </c>
      <c r="AF70" s="158" t="s">
        <v>126</v>
      </c>
      <c r="AG70" s="161" t="s">
        <v>127</v>
      </c>
      <c r="AH70" s="158" t="s">
        <v>134</v>
      </c>
      <c r="AI70" s="158" t="s">
        <v>135</v>
      </c>
      <c r="AJ70" s="158" t="s">
        <v>136</v>
      </c>
      <c r="AK70" s="158" t="s">
        <v>137</v>
      </c>
      <c r="AL70" s="158" t="s">
        <v>138</v>
      </c>
      <c r="AM70" s="158" t="s">
        <v>139</v>
      </c>
      <c r="AN70" s="158" t="s">
        <v>140</v>
      </c>
      <c r="AO70" s="172" t="s">
        <v>134</v>
      </c>
      <c r="AP70" s="172" t="s">
        <v>135</v>
      </c>
      <c r="AQ70" s="173" t="s">
        <v>136</v>
      </c>
      <c r="AR70" s="172" t="s">
        <v>141</v>
      </c>
      <c r="AS70" s="174" t="s">
        <v>142</v>
      </c>
      <c r="AT70" s="160" t="s">
        <v>143</v>
      </c>
      <c r="AU70" s="158" t="s">
        <v>144</v>
      </c>
      <c r="AV70" s="158" t="s">
        <v>145</v>
      </c>
      <c r="AW70" s="158" t="s">
        <v>146</v>
      </c>
      <c r="AX70" s="174"/>
    </row>
    <row r="71" s="185" customFormat="true" ht="17.9" hidden="false" customHeight="false" outlineLevel="0" collapsed="false">
      <c r="A71" s="176" t="n">
        <f aca="false">I33</f>
        <v>17.0130856044148</v>
      </c>
      <c r="B71" s="162" t="n">
        <f aca="false">C41</f>
        <v>47.9666666666667</v>
      </c>
      <c r="C71" s="162" t="n">
        <f aca="false">B41</f>
        <v>121.6</v>
      </c>
      <c r="D71" s="162" t="n">
        <f aca="false">J61</f>
        <v>29.5988986785574</v>
      </c>
      <c r="E71" s="177" t="n">
        <f aca="false">K50*1000</f>
        <v>1190</v>
      </c>
      <c r="F71" s="176" t="n">
        <f aca="false">AVERAGE(B71)</f>
        <v>47.9666666666667</v>
      </c>
      <c r="G71" s="162" t="n">
        <f aca="false">F71-B71</f>
        <v>0</v>
      </c>
      <c r="H71" s="162" t="n">
        <v>20</v>
      </c>
      <c r="I71" s="162" t="n">
        <f aca="false">IF(AND(G71&gt;H71,G72&gt;H72),1,2)</f>
        <v>2</v>
      </c>
      <c r="J71" s="178" t="e">
        <f aca="false">INDEX(A71:A76,MATCH(1,I71:I76,0))</f>
        <v>#N/A</v>
      </c>
      <c r="K71" s="178" t="e">
        <f aca="false">INDEX(D71:D76,MATCH(1,I71:I76,0))</f>
        <v>#N/A</v>
      </c>
      <c r="L71" s="178" t="e">
        <f aca="false">INDEX(E71:E76,MATCH(1,I71:I76,0))</f>
        <v>#N/A</v>
      </c>
      <c r="M71" s="178" t="e">
        <f aca="false">J71</f>
        <v>#N/A</v>
      </c>
      <c r="N71" s="178" t="e">
        <f aca="false">K71</f>
        <v>#N/A</v>
      </c>
      <c r="O71" s="178" t="e">
        <f aca="false">L71</f>
        <v>#N/A</v>
      </c>
      <c r="P71" s="178"/>
      <c r="Q71" s="179"/>
      <c r="R71" s="180" t="n">
        <f aca="false">AVERAGE(C71)</f>
        <v>121.6</v>
      </c>
      <c r="S71" s="181" t="n">
        <f aca="false">R71-C71</f>
        <v>0</v>
      </c>
      <c r="T71" s="181" t="n">
        <v>20</v>
      </c>
      <c r="U71" s="181" t="n">
        <f aca="false">IF(AND(S71&gt;T71,S72&gt;T72),1,2)</f>
        <v>2</v>
      </c>
      <c r="V71" s="181" t="n">
        <f aca="false">INDEX(A71:A75,MATCH(1,U71:U76,0))</f>
        <v>26.6031286651348</v>
      </c>
      <c r="W71" s="181" t="n">
        <f aca="false">INDEX(D71:D76,MATCH(1,U71:U76,0))</f>
        <v>26.0874288997117</v>
      </c>
      <c r="X71" s="181" t="n">
        <f aca="false">INDEX(E71:E75,MATCH(1,U71:U75,0))</f>
        <v>810</v>
      </c>
      <c r="Y71" s="181" t="n">
        <f aca="false">V71</f>
        <v>26.6031286651348</v>
      </c>
      <c r="Z71" s="181" t="n">
        <f aca="false">W71</f>
        <v>26.0874288997117</v>
      </c>
      <c r="AA71" s="181" t="n">
        <f aca="false">X71</f>
        <v>810</v>
      </c>
      <c r="AB71" s="182"/>
      <c r="AC71" s="183"/>
      <c r="AD71" s="176" t="n">
        <f aca="false">AVERAGE(D71)</f>
        <v>29.5988986785574</v>
      </c>
      <c r="AE71" s="162" t="n">
        <f aca="false">AD71-D71</f>
        <v>0</v>
      </c>
      <c r="AF71" s="162" t="n">
        <v>20</v>
      </c>
      <c r="AG71" s="162" t="n">
        <f aca="false">IF(AND(AE71&gt;AF71,AE72&gt;AF72),1,2)</f>
        <v>2</v>
      </c>
      <c r="AH71" s="162" t="n">
        <f aca="false">A72</f>
        <v>18.7365549614384</v>
      </c>
      <c r="AI71" s="162" t="e">
        <f aca="false">INDEX(D71:D75,MATCH(1,AG71:AG76,0))</f>
        <v>#N/A</v>
      </c>
      <c r="AJ71" s="162" t="e">
        <f aca="false">INDEX(E71:E75,MATCH(1,AG71:AG75,0))</f>
        <v>#N/A</v>
      </c>
      <c r="AK71" s="162" t="n">
        <v>812</v>
      </c>
      <c r="AL71" s="184" t="e">
        <f aca="false">IF(AND(ISNUMBER(AH71), AH71&lt;AK71), AJ71,"")</f>
        <v>#N/A</v>
      </c>
      <c r="AM71" s="162"/>
      <c r="AN71" s="162" t="e">
        <f aca="false">IF((AK71&gt;AL71),1,2)</f>
        <v>#N/A</v>
      </c>
      <c r="AO71" s="162" t="n">
        <f aca="false">A74</f>
        <v>23.8996597132248</v>
      </c>
      <c r="AP71" s="162" t="n">
        <f aca="false">D74</f>
        <v>29.747240591983</v>
      </c>
      <c r="AQ71" s="162" t="n">
        <f aca="false">E74</f>
        <v>705.000000000011</v>
      </c>
      <c r="AR71" s="162" t="s">
        <v>147</v>
      </c>
      <c r="AS71" s="177"/>
      <c r="AT71" s="176" t="n">
        <f aca="false">D15</f>
        <v>21.7108650114198</v>
      </c>
      <c r="AU71" s="162" t="n">
        <f aca="false">J67</f>
        <v>28.6676867819035</v>
      </c>
      <c r="AV71" s="162" t="n">
        <f aca="false">P56</f>
        <v>600.000000000001</v>
      </c>
      <c r="AW71" s="162" t="n">
        <f aca="false">J68</f>
        <v>3.50845986784295</v>
      </c>
      <c r="AX71" s="177"/>
    </row>
    <row r="72" s="185" customFormat="true" ht="15.75" hidden="false" customHeight="false" outlineLevel="0" collapsed="false">
      <c r="A72" s="176" t="n">
        <f aca="false">I34</f>
        <v>18.7365549614384</v>
      </c>
      <c r="B72" s="162" t="n">
        <f aca="false">C42</f>
        <v>45.05</v>
      </c>
      <c r="C72" s="162" t="n">
        <f aca="false">B42</f>
        <v>114.433333333333</v>
      </c>
      <c r="D72" s="162" t="n">
        <f aca="false">J62</f>
        <v>28.3555775401328</v>
      </c>
      <c r="E72" s="177" t="n">
        <f aca="false">K51*1000</f>
        <v>1145.00000000001</v>
      </c>
      <c r="F72" s="176" t="n">
        <f aca="false">AVERAGE(B71:B72)</f>
        <v>46.5083333333333</v>
      </c>
      <c r="G72" s="162" t="n">
        <f aca="false">(F71-B72)*100/F71</f>
        <v>6.08061153578875</v>
      </c>
      <c r="H72" s="162" t="n">
        <v>20</v>
      </c>
      <c r="I72" s="162" t="n">
        <f aca="false">IF(AND(G71&gt;H71,G72&gt;H72,G73&lt;H73),1,2)</f>
        <v>2</v>
      </c>
      <c r="J72" s="178"/>
      <c r="K72" s="178"/>
      <c r="L72" s="178"/>
      <c r="M72" s="186"/>
      <c r="N72" s="178"/>
      <c r="O72" s="178"/>
      <c r="P72" s="178"/>
      <c r="Q72" s="179"/>
      <c r="R72" s="180" t="n">
        <f aca="false">AVERAGE(C71:C72)</f>
        <v>118.016666666667</v>
      </c>
      <c r="S72" s="181" t="n">
        <f aca="false">(R71-C72)*100/R71</f>
        <v>5.89364035087719</v>
      </c>
      <c r="T72" s="181" t="n">
        <v>20</v>
      </c>
      <c r="U72" s="181" t="n">
        <f aca="false">IF(AND(S71&gt;T71,S72&gt;T72,S73&lt;T73),1,2)</f>
        <v>2</v>
      </c>
      <c r="V72" s="181"/>
      <c r="W72" s="181"/>
      <c r="X72" s="181"/>
      <c r="Y72" s="181"/>
      <c r="Z72" s="181"/>
      <c r="AA72" s="181"/>
      <c r="AB72" s="182"/>
      <c r="AC72" s="183"/>
      <c r="AD72" s="176" t="n">
        <f aca="false">AVERAGE(D71:D72)</f>
        <v>28.9772381093451</v>
      </c>
      <c r="AE72" s="162" t="n">
        <f aca="false">(AD71-D72)*100/AD71</f>
        <v>4.20056554105931</v>
      </c>
      <c r="AF72" s="162" t="n">
        <v>20</v>
      </c>
      <c r="AG72" s="162" t="n">
        <f aca="false">IF(AND(AE71&gt;AF71,AE72&gt;AF72,AE73&lt;AF73),1,2)</f>
        <v>2</v>
      </c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62"/>
      <c r="AS72" s="177"/>
      <c r="AT72" s="176"/>
      <c r="AU72" s="162"/>
      <c r="AV72" s="162"/>
      <c r="AW72" s="162"/>
      <c r="AX72" s="177"/>
    </row>
    <row r="73" s="185" customFormat="true" ht="15.75" hidden="false" customHeight="false" outlineLevel="0" collapsed="false">
      <c r="A73" s="176" t="n">
        <f aca="false">I35</f>
        <v>21.4150132286581</v>
      </c>
      <c r="B73" s="162" t="n">
        <f aca="false">C43</f>
        <v>43.9333333333333</v>
      </c>
      <c r="C73" s="162" t="n">
        <f aca="false">B43</f>
        <v>55.6</v>
      </c>
      <c r="D73" s="162" t="n">
        <f aca="false">J63</f>
        <v>28.6886978957664</v>
      </c>
      <c r="E73" s="177" t="n">
        <f aca="false">K52*1000</f>
        <v>984.999999999992</v>
      </c>
      <c r="F73" s="176" t="n">
        <f aca="false">AVERAGE(B72:B73)</f>
        <v>44.4916666666667</v>
      </c>
      <c r="G73" s="162" t="n">
        <f aca="false">(F72-B73)*100/F72</f>
        <v>5.53664217882099</v>
      </c>
      <c r="H73" s="162" t="n">
        <v>20</v>
      </c>
      <c r="I73" s="162" t="n">
        <f aca="false">IF(AND(G72&gt;H72,G73&gt;H73,G74&lt;H74),1,2)</f>
        <v>2</v>
      </c>
      <c r="J73" s="178"/>
      <c r="K73" s="178"/>
      <c r="L73" s="178"/>
      <c r="M73" s="178"/>
      <c r="N73" s="178"/>
      <c r="O73" s="178"/>
      <c r="P73" s="178"/>
      <c r="Q73" s="179"/>
      <c r="R73" s="180" t="n">
        <f aca="false">AVERAGE(C72:C73)</f>
        <v>85.0166666666667</v>
      </c>
      <c r="S73" s="181" t="n">
        <f aca="false">(R72-C73)*100/R72</f>
        <v>52.8880101680554</v>
      </c>
      <c r="T73" s="181" t="n">
        <v>20</v>
      </c>
      <c r="U73" s="181" t="n">
        <f aca="false">IF(AND(S72&gt;T72,S73&gt;T73,S74&lt;T74),1,2)</f>
        <v>2</v>
      </c>
      <c r="V73" s="181"/>
      <c r="W73" s="181"/>
      <c r="X73" s="181"/>
      <c r="Y73" s="181"/>
      <c r="Z73" s="181"/>
      <c r="AA73" s="181"/>
      <c r="AB73" s="182"/>
      <c r="AC73" s="183"/>
      <c r="AD73" s="176" t="n">
        <f aca="false">AVERAGE(D72:D73)</f>
        <v>28.5221377179496</v>
      </c>
      <c r="AE73" s="162" t="n">
        <f aca="false">(AD72-D73)*100/AD72</f>
        <v>0.995747808986873</v>
      </c>
      <c r="AF73" s="162" t="n">
        <v>20</v>
      </c>
      <c r="AG73" s="162" t="n">
        <f aca="false">IF(AND(AE72&gt;AF72,AE73&gt;AF73,AE74&lt;AF74),1,2)</f>
        <v>2</v>
      </c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62"/>
      <c r="AS73" s="177"/>
      <c r="AT73" s="176"/>
      <c r="AU73" s="162"/>
      <c r="AV73" s="162"/>
      <c r="AW73" s="162"/>
      <c r="AX73" s="177"/>
    </row>
    <row r="74" s="185" customFormat="true" ht="15.75" hidden="false" customHeight="false" outlineLevel="0" collapsed="false">
      <c r="A74" s="176" t="n">
        <f aca="false">I36</f>
        <v>23.8996597132248</v>
      </c>
      <c r="B74" s="162" t="n">
        <f aca="false">C44</f>
        <v>39.8</v>
      </c>
      <c r="C74" s="162" t="n">
        <f aca="false">B44</f>
        <v>49.2</v>
      </c>
      <c r="D74" s="162" t="n">
        <f aca="false">J64</f>
        <v>29.747240591983</v>
      </c>
      <c r="E74" s="177" t="n">
        <f aca="false">K53*1000</f>
        <v>705.000000000011</v>
      </c>
      <c r="F74" s="176" t="n">
        <f aca="false">AVERAGE(B73:B74)</f>
        <v>41.8666666666667</v>
      </c>
      <c r="G74" s="162" t="n">
        <f aca="false">(F73-B74)*100/F73</f>
        <v>10.5450458887432</v>
      </c>
      <c r="H74" s="162" t="n">
        <v>20</v>
      </c>
      <c r="I74" s="162" t="n">
        <f aca="false">IF(AND(G73&gt;H73,G74&gt;H74,G75&lt;H75),1,2)</f>
        <v>2</v>
      </c>
      <c r="J74" s="178"/>
      <c r="K74" s="178"/>
      <c r="L74" s="178"/>
      <c r="M74" s="178"/>
      <c r="N74" s="178"/>
      <c r="O74" s="178"/>
      <c r="P74" s="178"/>
      <c r="Q74" s="179"/>
      <c r="R74" s="180" t="n">
        <f aca="false">AVERAGE(C73:C74)</f>
        <v>52.4</v>
      </c>
      <c r="S74" s="181" t="n">
        <f aca="false">(R73-C74)*100/R73</f>
        <v>42.1289943148402</v>
      </c>
      <c r="T74" s="181" t="n">
        <v>20</v>
      </c>
      <c r="U74" s="181" t="n">
        <f aca="false">IF(AND(S73&gt;T73,S74&gt;T74,S75&lt;T75),1,2)</f>
        <v>2</v>
      </c>
      <c r="V74" s="181"/>
      <c r="W74" s="181"/>
      <c r="X74" s="181"/>
      <c r="Y74" s="181"/>
      <c r="Z74" s="181"/>
      <c r="AA74" s="181"/>
      <c r="AB74" s="182"/>
      <c r="AC74" s="183"/>
      <c r="AD74" s="176" t="n">
        <f aca="false">AVERAGE(D73:D74)</f>
        <v>29.2179692438747</v>
      </c>
      <c r="AE74" s="162" t="n">
        <f aca="false">(AD73-D74)*100/AD73</f>
        <v>-4.29527017276269</v>
      </c>
      <c r="AF74" s="162" t="n">
        <v>20</v>
      </c>
      <c r="AG74" s="162" t="n">
        <f aca="false">IF(AND(AE73&gt;AF73,AE74&gt;AF74,AE75&lt;AF75),1,2)</f>
        <v>2</v>
      </c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62"/>
      <c r="AS74" s="177"/>
      <c r="AT74" s="176"/>
      <c r="AU74" s="162"/>
      <c r="AV74" s="162"/>
      <c r="AW74" s="162"/>
      <c r="AX74" s="177"/>
    </row>
    <row r="75" s="185" customFormat="true" ht="15.75" hidden="false" customHeight="false" outlineLevel="0" collapsed="false">
      <c r="A75" s="176" t="n">
        <f aca="false">I37</f>
        <v>26.6031286651348</v>
      </c>
      <c r="B75" s="162" t="n">
        <f aca="false">C45</f>
        <v>34.05</v>
      </c>
      <c r="C75" s="162" t="n">
        <f aca="false">B45</f>
        <v>40.55</v>
      </c>
      <c r="D75" s="162" t="n">
        <f aca="false">J65</f>
        <v>26.0874288997117</v>
      </c>
      <c r="E75" s="177" t="n">
        <f aca="false">K54*1000</f>
        <v>810</v>
      </c>
      <c r="F75" s="176" t="n">
        <f aca="false">AVERAGE(B74:B75)</f>
        <v>36.925</v>
      </c>
      <c r="G75" s="162" t="n">
        <f aca="false">(F74-B75)*100/F74</f>
        <v>18.6703821656051</v>
      </c>
      <c r="H75" s="162" t="n">
        <v>20</v>
      </c>
      <c r="I75" s="162" t="n">
        <f aca="false">IF(AND(G74&gt;H74,G75&gt;H75,G76&lt;H76),1,2)</f>
        <v>2</v>
      </c>
      <c r="J75" s="178"/>
      <c r="K75" s="178"/>
      <c r="L75" s="178"/>
      <c r="M75" s="178"/>
      <c r="N75" s="178"/>
      <c r="O75" s="178"/>
      <c r="P75" s="178"/>
      <c r="Q75" s="179"/>
      <c r="R75" s="180" t="n">
        <f aca="false">AVERAGE(C74:C75)</f>
        <v>44.875</v>
      </c>
      <c r="S75" s="181" t="n">
        <f aca="false">(R74-C75)*100/R74</f>
        <v>22.6145038167939</v>
      </c>
      <c r="T75" s="181" t="n">
        <v>20</v>
      </c>
      <c r="U75" s="181" t="n">
        <f aca="false">IF(AND(S74&gt;T74,S75&gt;T75,S76&lt;T76),1,2)</f>
        <v>1</v>
      </c>
      <c r="V75" s="181"/>
      <c r="W75" s="181"/>
      <c r="X75" s="181"/>
      <c r="Y75" s="181"/>
      <c r="Z75" s="181"/>
      <c r="AA75" s="181"/>
      <c r="AB75" s="182"/>
      <c r="AC75" s="183"/>
      <c r="AD75" s="176" t="n">
        <f aca="false">AVERAGE(D74:D75)</f>
        <v>27.9173347458474</v>
      </c>
      <c r="AE75" s="162" t="n">
        <f aca="false">(AD74-D75)*100/AD74</f>
        <v>10.7144350725855</v>
      </c>
      <c r="AF75" s="162" t="n">
        <v>20</v>
      </c>
      <c r="AG75" s="162" t="n">
        <f aca="false">IF(AND(AE74&gt;AF74,AE75&gt;AF75,AE76&lt;AF76),1,2)</f>
        <v>2</v>
      </c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62"/>
      <c r="AS75" s="177"/>
      <c r="AT75" s="176"/>
      <c r="AU75" s="162"/>
      <c r="AV75" s="162"/>
      <c r="AW75" s="162"/>
      <c r="AX75" s="177"/>
    </row>
    <row r="76" s="185" customFormat="true" ht="15.75" hidden="false" customHeight="false" outlineLevel="0" collapsed="false">
      <c r="A76" s="176" t="n">
        <f aca="false">I38</f>
        <v>29.1397097654582</v>
      </c>
      <c r="B76" s="162" t="n">
        <f aca="false">C46</f>
        <v>24.0333333333333</v>
      </c>
      <c r="C76" s="162" t="n">
        <f aca="false">B46</f>
        <v>39.8333333333333</v>
      </c>
      <c r="D76" s="162" t="n">
        <f aca="false">J66</f>
        <v>29.540313345138</v>
      </c>
      <c r="E76" s="177" t="n">
        <f aca="false">K55*1000</f>
        <v>424.999999999998</v>
      </c>
      <c r="F76" s="176" t="n">
        <f aca="false">AVERAGE(B75:B76)</f>
        <v>29.0416666666667</v>
      </c>
      <c r="G76" s="162" t="n">
        <f aca="false">(F75-B76)*100/F75</f>
        <v>34.913112164297</v>
      </c>
      <c r="H76" s="162" t="n">
        <v>20</v>
      </c>
      <c r="I76" s="162" t="n">
        <f aca="false">IF(AND(G75&gt;H75,G76&gt;H76),1,2)</f>
        <v>2</v>
      </c>
      <c r="J76" s="178"/>
      <c r="K76" s="178"/>
      <c r="L76" s="178"/>
      <c r="M76" s="178"/>
      <c r="N76" s="178"/>
      <c r="O76" s="178"/>
      <c r="P76" s="178"/>
      <c r="Q76" s="179"/>
      <c r="R76" s="180" t="n">
        <f aca="false">AVERAGE(C75:C76)</f>
        <v>40.1916666666667</v>
      </c>
      <c r="S76" s="181" t="n">
        <f aca="false">(R75-C76)*100/R75</f>
        <v>11.2349117920149</v>
      </c>
      <c r="T76" s="181" t="n">
        <v>20</v>
      </c>
      <c r="U76" s="181" t="n">
        <f aca="false">IF(AND(S75&gt;T75,S76&gt;T76),1,2)</f>
        <v>2</v>
      </c>
      <c r="V76" s="181"/>
      <c r="W76" s="181"/>
      <c r="X76" s="181"/>
      <c r="Y76" s="181"/>
      <c r="Z76" s="181"/>
      <c r="AA76" s="181"/>
      <c r="AB76" s="182"/>
      <c r="AC76" s="183"/>
      <c r="AD76" s="176" t="n">
        <f aca="false">AVERAGE(D75:D76)</f>
        <v>27.8138711224249</v>
      </c>
      <c r="AE76" s="162" t="n">
        <f aca="false">(AD75-D76)*100/AD75</f>
        <v>-5.8135155596545</v>
      </c>
      <c r="AF76" s="162" t="n">
        <v>20</v>
      </c>
      <c r="AG76" s="162" t="n">
        <f aca="false">IF(AND(AE75&gt;AF75,AE76&gt;AF76),1,2)</f>
        <v>2</v>
      </c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77"/>
      <c r="AT76" s="176"/>
      <c r="AU76" s="162"/>
      <c r="AV76" s="162"/>
      <c r="AW76" s="162"/>
      <c r="AX76" s="177"/>
    </row>
  </sheetData>
  <mergeCells count="15">
    <mergeCell ref="U5:AL7"/>
    <mergeCell ref="A7:D7"/>
    <mergeCell ref="A17:C17"/>
    <mergeCell ref="A23:C23"/>
    <mergeCell ref="A26:C26"/>
    <mergeCell ref="A31:R31"/>
    <mergeCell ref="A39:M39"/>
    <mergeCell ref="D40:H40"/>
    <mergeCell ref="I40:M40"/>
    <mergeCell ref="U43:AC44"/>
    <mergeCell ref="AD43:AL44"/>
    <mergeCell ref="X47:Z47"/>
    <mergeCell ref="A48:P48"/>
    <mergeCell ref="V52:Z52"/>
    <mergeCell ref="A59:O59"/>
  </mergeCells>
  <conditionalFormatting sqref="X56">
    <cfRule type="cellIs" priority="2" operator="lessThan" aboveAverage="0" equalAverage="0" bottom="0" percent="0" rank="0" text="" dxfId="0">
      <formula>3</formula>
    </cfRule>
    <cfRule type="cellIs" priority="3" operator="greaterThan" aboveAverage="0" equalAverage="0" bottom="0" percent="0" rank="0" text="" dxfId="1">
      <formula>3.9</formula>
    </cfRule>
    <cfRule type="cellIs" priority="4" operator="between" aboveAverage="0" equalAverage="0" bottom="0" percent="0" rank="0" text="" dxfId="2">
      <formula>3</formula>
      <formula>3.9</formula>
    </cfRule>
    <cfRule type="cellIs" priority="5" operator="between" aboveAverage="0" equalAverage="0" bottom="0" percent="0" rank="0" text="" dxfId="3">
      <formula>3</formula>
      <formula>3.9</formula>
    </cfRule>
    <cfRule type="cellIs" priority="6" operator="between" aboveAverage="0" equalAverage="0" bottom="0" percent="0" rank="0" text="" dxfId="4">
      <formula>3.15</formula>
      <formula>3.85</formula>
    </cfRule>
  </conditionalFormatting>
  <conditionalFormatting sqref="X60:Z60">
    <cfRule type="cellIs" priority="7" operator="greaterThan" aboveAverage="0" equalAverage="0" bottom="0" percent="0" rank="0" text="" dxfId="5">
      <formula>812</formula>
    </cfRule>
  </conditionalFormatting>
  <conditionalFormatting sqref="Y60:Z60">
    <cfRule type="cellIs" priority="8" operator="lessThan" aboveAverage="0" equalAverage="0" bottom="0" percent="0" rank="0" text="" dxfId="6">
      <formula>812</formula>
    </cfRule>
  </conditionalFormatting>
  <conditionalFormatting sqref="X60">
    <cfRule type="cellIs" priority="9" operator="lessThan" aboveAverage="0" equalAverage="0" bottom="0" percent="0" rank="0" text="" dxfId="7">
      <formula>812</formula>
    </cfRule>
  </conditionalFormatting>
  <printOptions headings="false" gridLines="false" gridLinesSet="true" horizontalCentered="true" verticalCentered="false"/>
  <pageMargins left="0.25" right="0.25" top="1.25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15" man="true" max="16383" min="0"/>
    <brk id="18" man="true" max="16383" min="0"/>
    <brk id="22" man="true" max="16383" min="0"/>
    <brk id="31" man="true" max="16383" min="0"/>
  </rowBreaks>
  <colBreaks count="3" manualBreakCount="3">
    <brk id="40" man="true" max="65535" min="0"/>
    <brk id="44" man="true" max="65535" min="0"/>
    <brk id="5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.75" zeroHeight="false" outlineLevelRow="2" outlineLevelCol="0"/>
  <cols>
    <col collapsed="false" customWidth="true" hidden="false" outlineLevel="0" max="1" min="1" style="1" width="39.43"/>
    <col collapsed="false" customWidth="true" hidden="false" outlineLevel="0" max="2" min="2" style="1" width="26.29"/>
    <col collapsed="false" customWidth="true" hidden="false" outlineLevel="0" max="3" min="3" style="1" width="32.29"/>
    <col collapsed="false" customWidth="true" hidden="false" outlineLevel="0" max="4" min="4" style="1" width="22.29"/>
    <col collapsed="false" customWidth="true" hidden="false" outlineLevel="0" max="5" min="5" style="1" width="23.28"/>
    <col collapsed="false" customWidth="true" hidden="false" outlineLevel="0" max="6" min="6" style="1" width="25.71"/>
    <col collapsed="false" customWidth="true" hidden="false" outlineLevel="0" max="8" min="7" style="1" width="16.72"/>
    <col collapsed="false" customWidth="true" hidden="false" outlineLevel="0" max="9" min="9" style="1" width="18.43"/>
    <col collapsed="false" customWidth="true" hidden="false" outlineLevel="0" max="10" min="10" style="1" width="15.72"/>
    <col collapsed="false" customWidth="true" hidden="false" outlineLevel="0" max="11" min="11" style="1" width="16.43"/>
    <col collapsed="false" customWidth="true" hidden="false" outlineLevel="0" max="12" min="12" style="1" width="16.72"/>
    <col collapsed="false" customWidth="true" hidden="false" outlineLevel="0" max="13" min="13" style="1" width="17.3"/>
    <col collapsed="false" customWidth="true" hidden="false" outlineLevel="0" max="14" min="14" style="1" width="10.29"/>
    <col collapsed="false" customWidth="true" hidden="false" outlineLevel="0" max="15" min="15" style="1" width="11"/>
    <col collapsed="false" customWidth="true" hidden="false" outlineLevel="0" max="16" min="16" style="1" width="18.7"/>
    <col collapsed="false" customWidth="true" hidden="false" outlineLevel="0" max="17" min="17" style="1" width="11"/>
    <col collapsed="false" customWidth="true" hidden="false" outlineLevel="0" max="21" min="18" style="1" width="11.72"/>
    <col collapsed="false" customWidth="true" hidden="false" outlineLevel="0" max="22" min="22" style="1" width="22.29"/>
    <col collapsed="false" customWidth="true" hidden="false" outlineLevel="0" max="25" min="23" style="1" width="11.72"/>
    <col collapsed="false" customWidth="true" hidden="false" outlineLevel="0" max="26" min="26" style="1" width="21.3"/>
    <col collapsed="false" customWidth="true" hidden="false" outlineLevel="0" max="34" min="27" style="1" width="11.72"/>
    <col collapsed="false" customWidth="true" hidden="false" outlineLevel="0" max="35" min="35" style="1" width="13.3"/>
    <col collapsed="false" customWidth="true" hidden="false" outlineLevel="0" max="36" min="36" style="1" width="14.7"/>
    <col collapsed="false" customWidth="true" hidden="false" outlineLevel="0" max="37" min="37" style="1" width="11.72"/>
    <col collapsed="false" customWidth="true" hidden="false" outlineLevel="0" max="38" min="38" style="1" width="9.43"/>
    <col collapsed="false" customWidth="true" hidden="false" outlineLevel="0" max="39" min="39" style="1" width="8.29"/>
    <col collapsed="false" customWidth="true" hidden="false" outlineLevel="0" max="40" min="40" style="1" width="7.43"/>
    <col collapsed="false" customWidth="false" hidden="false" outlineLevel="0" max="42" min="41" style="1" width="8.72"/>
    <col collapsed="false" customWidth="true" hidden="false" outlineLevel="0" max="43" min="43" style="1" width="8.43"/>
    <col collapsed="false" customWidth="false" hidden="false" outlineLevel="0" max="16384" min="44" style="1" width="8.72"/>
  </cols>
  <sheetData>
    <row r="1" customFormat="false" ht="15.75" hidden="false" customHeight="false" outlineLevel="0" collapsed="false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customFormat="false" ht="15.75" hidden="false" customHeight="false" outlineLevel="0" collapsed="false">
      <c r="A2" s="5"/>
      <c r="B2" s="6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customFormat="false" ht="15.75" hidden="false" customHeight="false" outlineLevel="0" collapsed="false">
      <c r="A3" s="5"/>
      <c r="B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customFormat="false" ht="15.75" hidden="false" customHeight="false" outlineLevel="0" collapsed="false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customFormat="false" ht="34.5" hidden="false" customHeight="true" outlineLevel="0" collapsed="false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7" t="s">
        <v>148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customFormat="false" ht="15.75" hidden="false" customHeight="false" outlineLevel="0" collapsed="false">
      <c r="A7" s="8" t="s">
        <v>4</v>
      </c>
      <c r="B7" s="8"/>
      <c r="C7" s="8"/>
      <c r="D7" s="8"/>
      <c r="E7" s="3"/>
      <c r="F7" s="9" t="s">
        <v>5</v>
      </c>
      <c r="G7" s="10"/>
      <c r="H7" s="10"/>
      <c r="I7" s="10"/>
      <c r="J7" s="10"/>
      <c r="K7" s="3"/>
      <c r="L7" s="3"/>
      <c r="M7" s="3"/>
      <c r="N7" s="3"/>
      <c r="O7" s="3"/>
      <c r="P7" s="3"/>
      <c r="Q7" s="3"/>
      <c r="R7" s="3"/>
      <c r="S7" s="3"/>
      <c r="T7" s="3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customFormat="false" ht="17.9" hidden="false" customHeight="false" outlineLevel="0" collapsed="false">
      <c r="A8" s="11" t="s">
        <v>6</v>
      </c>
      <c r="B8" s="12" t="s">
        <v>149</v>
      </c>
      <c r="C8" s="13" t="s">
        <v>8</v>
      </c>
      <c r="D8" s="14" t="n">
        <f aca="false">D10*B11*8.34*10000</f>
        <v>415.0427688</v>
      </c>
      <c r="E8" s="3"/>
      <c r="F8" s="15"/>
      <c r="G8" s="16"/>
      <c r="H8" s="16"/>
      <c r="I8" s="17" t="s">
        <v>9</v>
      </c>
      <c r="J8" s="18"/>
      <c r="K8" s="3"/>
      <c r="L8" s="3"/>
      <c r="M8" s="3"/>
      <c r="N8" s="3"/>
      <c r="O8" s="3"/>
      <c r="P8" s="3"/>
      <c r="Q8" s="3"/>
      <c r="R8" s="3"/>
      <c r="S8" s="3"/>
      <c r="T8" s="3"/>
      <c r="U8" s="19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customFormat="false" ht="17.9" hidden="false" customHeight="false" outlineLevel="0" collapsed="false">
      <c r="A9" s="22" t="s">
        <v>10</v>
      </c>
      <c r="B9" s="12" t="n">
        <v>0.177</v>
      </c>
      <c r="C9" s="23" t="s">
        <v>11</v>
      </c>
      <c r="D9" s="24" t="n">
        <f aca="false">B9*B10</f>
        <v>13.8237</v>
      </c>
      <c r="E9" s="3"/>
      <c r="F9" s="25"/>
      <c r="G9" s="26" t="s">
        <v>12</v>
      </c>
      <c r="H9" s="26" t="s">
        <v>13</v>
      </c>
      <c r="I9" s="26" t="s">
        <v>14</v>
      </c>
      <c r="J9" s="26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  <c r="U9" s="27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customFormat="false" ht="17.9" hidden="false" customHeight="false" outlineLevel="0" collapsed="false">
      <c r="A10" s="22" t="s">
        <v>16</v>
      </c>
      <c r="B10" s="30" t="n">
        <v>78.1</v>
      </c>
      <c r="C10" s="23" t="s">
        <v>17</v>
      </c>
      <c r="D10" s="24" t="n">
        <f aca="false">D9*1440/1000000</f>
        <v>0.019906128</v>
      </c>
      <c r="E10" s="3"/>
      <c r="F10" s="25" t="s">
        <v>18</v>
      </c>
      <c r="G10" s="31" t="s">
        <v>19</v>
      </c>
      <c r="H10" s="32" t="n">
        <f aca="false">J68</f>
        <v>3.79994071892601</v>
      </c>
      <c r="I10" s="32"/>
      <c r="J10" s="32"/>
      <c r="K10" s="3"/>
      <c r="L10" s="3"/>
      <c r="M10" s="3"/>
      <c r="N10" s="3"/>
      <c r="O10" s="3"/>
      <c r="P10" s="3"/>
      <c r="Q10" s="3"/>
      <c r="R10" s="3"/>
      <c r="S10" s="3"/>
      <c r="T10" s="3"/>
      <c r="U10" s="27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customFormat="false" ht="17.9" hidden="false" customHeight="false" outlineLevel="0" collapsed="false">
      <c r="A11" s="22" t="s">
        <v>20</v>
      </c>
      <c r="B11" s="33" t="n">
        <v>0.25</v>
      </c>
      <c r="C11" s="23" t="s">
        <v>21</v>
      </c>
      <c r="D11" s="24" t="n">
        <f aca="false">B10*1440/1000000</f>
        <v>0.112464</v>
      </c>
      <c r="E11" s="3"/>
      <c r="F11" s="25" t="s">
        <v>22</v>
      </c>
      <c r="G11" s="31" t="s">
        <v>23</v>
      </c>
      <c r="H11" s="34" t="n">
        <f aca="false">B9</f>
        <v>0.177</v>
      </c>
      <c r="I11" s="34" t="n">
        <f aca="false">B9</f>
        <v>0.177</v>
      </c>
      <c r="J11" s="34" t="n">
        <f aca="false">B9</f>
        <v>0.177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27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9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customFormat="false" ht="17.9" hidden="false" customHeight="false" outlineLevel="0" collapsed="false">
      <c r="A12" s="22" t="s">
        <v>24</v>
      </c>
      <c r="B12" s="35" t="n">
        <v>6.1</v>
      </c>
      <c r="C12" s="23" t="s">
        <v>25</v>
      </c>
      <c r="D12" s="24" t="n">
        <f aca="false">(B12/(1+(B15/B14)))</f>
        <v>3.48924949290061</v>
      </c>
      <c r="E12" s="3"/>
      <c r="F12" s="25" t="s">
        <v>26</v>
      </c>
      <c r="G12" s="31" t="s">
        <v>27</v>
      </c>
      <c r="H12" s="36" t="n">
        <f aca="false">AS71</f>
        <v>25.9530791788856</v>
      </c>
      <c r="I12" s="37" t="n">
        <f aca="false">Y71</f>
        <v>32.7416335155434</v>
      </c>
      <c r="J12" s="37" t="n">
        <f aca="false">AN71</f>
        <v>23.6204711086333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27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customFormat="false" ht="17.9" hidden="false" customHeight="false" outlineLevel="0" collapsed="false">
      <c r="A13" s="22" t="s">
        <v>28</v>
      </c>
      <c r="B13" s="38" t="n">
        <v>3.41</v>
      </c>
      <c r="C13" s="23" t="s">
        <v>29</v>
      </c>
      <c r="D13" s="24" t="n">
        <f aca="false">D11*D12*8.34*(10000/2000)</f>
        <v>16.3637036222312</v>
      </c>
      <c r="E13" s="3"/>
      <c r="F13" s="25" t="s">
        <v>30</v>
      </c>
      <c r="G13" s="31" t="s">
        <v>19</v>
      </c>
      <c r="H13" s="32" t="n">
        <f aca="false">J67</f>
        <v>28.9718828704658</v>
      </c>
      <c r="I13" s="37" t="n">
        <f aca="false">Z71</f>
        <v>29.7349256890145</v>
      </c>
      <c r="J13" s="37" t="n">
        <f aca="false">AO71</f>
        <v>32.8894270834206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27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9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customFormat="false" ht="17.9" hidden="false" customHeight="false" outlineLevel="0" collapsed="false">
      <c r="A14" s="22" t="s">
        <v>31</v>
      </c>
      <c r="B14" s="39" t="n">
        <v>282</v>
      </c>
      <c r="C14" s="23" t="s">
        <v>32</v>
      </c>
      <c r="D14" s="24" t="n">
        <f aca="false">D8/D13</f>
        <v>25.3636205092431</v>
      </c>
      <c r="E14" s="3"/>
      <c r="F14" s="25" t="s">
        <v>33</v>
      </c>
      <c r="G14" s="31" t="s">
        <v>34</v>
      </c>
      <c r="H14" s="32" t="n">
        <f aca="false">AU71</f>
        <v>580.000000000003</v>
      </c>
      <c r="I14" s="37" t="n">
        <f aca="false">AA71</f>
        <v>334.999999999996</v>
      </c>
      <c r="J14" s="37" t="n">
        <f aca="false">AP71</f>
        <v>834.999999999997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27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customFormat="false" ht="17.9" hidden="false" customHeight="false" outlineLevel="0" collapsed="false">
      <c r="A15" s="40" t="s">
        <v>35</v>
      </c>
      <c r="B15" s="41" t="n">
        <v>211</v>
      </c>
      <c r="C15" s="42" t="s">
        <v>36</v>
      </c>
      <c r="D15" s="187" t="n">
        <f aca="false">((B9*B11)/B13)*2000</f>
        <v>25.9530791788856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7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9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customFormat="false" ht="15.75" hidden="false" customHeight="false" outlineLevel="0" collapsed="false">
      <c r="A16" s="44"/>
      <c r="B16" s="4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7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9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customFormat="false" ht="15.75" hidden="false" customHeight="true" outlineLevel="2" collapsed="false">
      <c r="A17" s="45" t="s">
        <v>37</v>
      </c>
      <c r="B17" s="45"/>
      <c r="C17" s="4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7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9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customFormat="false" ht="15.75" hidden="false" customHeight="false" outlineLevel="2" collapsed="false">
      <c r="A18" s="46"/>
      <c r="B18" s="13"/>
      <c r="C18" s="4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7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9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customFormat="false" ht="15.75" hidden="false" customHeight="false" outlineLevel="2" collapsed="false">
      <c r="A19" s="48" t="s">
        <v>38</v>
      </c>
      <c r="B19" s="49" t="n">
        <f aca="false">1/453.59237</f>
        <v>0.00220462262184878</v>
      </c>
      <c r="C19" s="50" t="s">
        <v>39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7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9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customFormat="false" ht="15.75" hidden="false" customHeight="false" outlineLevel="2" collapsed="false">
      <c r="A20" s="48" t="s">
        <v>38</v>
      </c>
      <c r="B20" s="49" t="n">
        <v>1.10231099500101E-006</v>
      </c>
      <c r="C20" s="50" t="s">
        <v>40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7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9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customFormat="false" ht="15.75" hidden="false" customHeight="false" outlineLevel="2" collapsed="false">
      <c r="A21" s="48" t="s">
        <v>41</v>
      </c>
      <c r="B21" s="49" t="n">
        <v>3.95</v>
      </c>
      <c r="C21" s="50" t="s">
        <v>42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9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customFormat="false" ht="17.9" hidden="false" customHeight="false" outlineLevel="2" collapsed="false">
      <c r="A22" s="48" t="s">
        <v>43</v>
      </c>
      <c r="B22" s="51" t="n">
        <f aca="false">((3.95/2)*0.0254)^2 * PI()</f>
        <v>0.00790590344261871</v>
      </c>
      <c r="C22" s="50" t="s">
        <v>44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customFormat="false" ht="17.9" hidden="false" customHeight="false" outlineLevel="2" collapsed="false">
      <c r="A23" s="52" t="s">
        <v>45</v>
      </c>
      <c r="B23" s="52"/>
      <c r="C23" s="5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7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customFormat="false" ht="15.75" hidden="false" customHeight="false" outlineLevel="2" collapsed="false">
      <c r="A24" s="48" t="s">
        <v>46</v>
      </c>
      <c r="B24" s="53" t="n">
        <f aca="false">B22*0.8*1000</f>
        <v>6.32472275409497</v>
      </c>
      <c r="C24" s="50" t="s">
        <v>47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7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9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customFormat="false" ht="16.5" hidden="false" customHeight="true" outlineLevel="2" collapsed="false">
      <c r="A25" s="48" t="s">
        <v>48</v>
      </c>
      <c r="B25" s="53" t="n">
        <v>3.5</v>
      </c>
      <c r="C25" s="50" t="s">
        <v>49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7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9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customFormat="false" ht="16.5" hidden="false" customHeight="true" outlineLevel="2" collapsed="false">
      <c r="A26" s="52" t="s">
        <v>50</v>
      </c>
      <c r="B26" s="52"/>
      <c r="C26" s="5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7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9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customFormat="false" ht="15.75" hidden="false" customHeight="false" outlineLevel="2" collapsed="false">
      <c r="A27" s="48" t="s">
        <v>51</v>
      </c>
      <c r="B27" s="53" t="n">
        <v>0.25</v>
      </c>
      <c r="C27" s="5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7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9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customFormat="false" ht="15.75" hidden="false" customHeight="false" outlineLevel="2" collapsed="false">
      <c r="A28" s="54" t="s">
        <v>52</v>
      </c>
      <c r="B28" s="55" t="s">
        <v>53</v>
      </c>
      <c r="C28" s="56" t="s">
        <v>54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7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9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7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9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customFormat="false" ht="15.75" hidden="false" customHeight="false" outlineLevel="0" collapsed="false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7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9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customFormat="false" ht="17.35" hidden="false" customHeight="false" outlineLevel="0" collapsed="false">
      <c r="A31" s="57" t="s">
        <v>55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8"/>
      <c r="T31" s="58"/>
      <c r="U31" s="27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9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customFormat="false" ht="67.15" hidden="false" customHeight="false" outlineLevel="0" collapsed="false">
      <c r="A32" s="59" t="s">
        <v>56</v>
      </c>
      <c r="B32" s="60" t="s">
        <v>57</v>
      </c>
      <c r="C32" s="60" t="s">
        <v>58</v>
      </c>
      <c r="D32" s="60" t="s">
        <v>59</v>
      </c>
      <c r="E32" s="60" t="s">
        <v>60</v>
      </c>
      <c r="F32" s="60" t="s">
        <v>61</v>
      </c>
      <c r="G32" s="60" t="s">
        <v>62</v>
      </c>
      <c r="H32" s="60" t="s">
        <v>63</v>
      </c>
      <c r="I32" s="60" t="s">
        <v>64</v>
      </c>
      <c r="J32" s="60" t="s">
        <v>65</v>
      </c>
      <c r="K32" s="60" t="s">
        <v>66</v>
      </c>
      <c r="L32" s="60" t="s">
        <v>67</v>
      </c>
      <c r="M32" s="60" t="s">
        <v>68</v>
      </c>
      <c r="N32" s="60" t="s">
        <v>69</v>
      </c>
      <c r="O32" s="60" t="s">
        <v>70</v>
      </c>
      <c r="P32" s="60" t="s">
        <v>71</v>
      </c>
      <c r="Q32" s="60" t="s">
        <v>72</v>
      </c>
      <c r="R32" s="61" t="s">
        <v>73</v>
      </c>
      <c r="S32" s="62"/>
      <c r="T32" s="62"/>
      <c r="U32" s="27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9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customFormat="false" ht="15.75" hidden="false" customHeight="false" outlineLevel="0" collapsed="false">
      <c r="A33" s="63" t="n">
        <v>1</v>
      </c>
      <c r="B33" s="64" t="n">
        <v>19.5</v>
      </c>
      <c r="C33" s="64" t="n">
        <v>3.41</v>
      </c>
      <c r="D33" s="64" t="n">
        <v>500.54</v>
      </c>
      <c r="E33" s="65" t="n">
        <f aca="false">(B33*D33*$B$20*C33)/($B$19*$B$27)</f>
        <v>66.5667955218932</v>
      </c>
      <c r="F33" s="66" t="n">
        <v>70.28</v>
      </c>
      <c r="G33" s="66" t="n">
        <v>1.98</v>
      </c>
      <c r="H33" s="67" t="n">
        <f aca="false">F33-G33</f>
        <v>68.3</v>
      </c>
      <c r="I33" s="68" t="n">
        <f aca="false">(H33*$B$27*$B$19)/ (D33*$B$20*C33)</f>
        <v>20.0077229128743</v>
      </c>
      <c r="J33" s="64" t="n">
        <v>206.78</v>
      </c>
      <c r="K33" s="64" t="n">
        <v>409.17</v>
      </c>
      <c r="L33" s="64" t="n">
        <v>347.93</v>
      </c>
      <c r="M33" s="64" t="n">
        <v>779.21</v>
      </c>
      <c r="N33" s="65" t="n">
        <v>100</v>
      </c>
      <c r="O33" s="69" t="n">
        <f aca="false">L33-J33</f>
        <v>141.15</v>
      </c>
      <c r="P33" s="65" t="n">
        <f aca="false">M33-K33</f>
        <v>370.04</v>
      </c>
      <c r="Q33" s="65" t="n">
        <f aca="false">((O33+P33)/O33)*(D33/(D33+H33))*C33</f>
        <v>10.866870897646</v>
      </c>
      <c r="R33" s="70" t="n">
        <f aca="false">$B$24/Q33*100</f>
        <v>58.2018762684027</v>
      </c>
      <c r="S33" s="71"/>
      <c r="T33" s="71"/>
      <c r="U33" s="27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9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customFormat="false" ht="15.75" hidden="false" customHeight="false" outlineLevel="0" collapsed="false">
      <c r="A34" s="63" t="n">
        <v>2</v>
      </c>
      <c r="B34" s="64" t="n">
        <v>23</v>
      </c>
      <c r="C34" s="64" t="n">
        <v>3.41</v>
      </c>
      <c r="D34" s="64" t="n">
        <v>503.13</v>
      </c>
      <c r="E34" s="65" t="n">
        <f aca="false">(B34*D34*$B$20*C34)/($B$19*$B$27)</f>
        <v>78.920949181181</v>
      </c>
      <c r="F34" s="66" t="n">
        <v>83.55</v>
      </c>
      <c r="G34" s="66" t="n">
        <v>2.5</v>
      </c>
      <c r="H34" s="72" t="n">
        <f aca="false">F34-G34</f>
        <v>81.05</v>
      </c>
      <c r="I34" s="68" t="n">
        <f aca="false">(H34*$B$27*$B$19)/ (D34*$B$20*C34)</f>
        <v>23.6204711086333</v>
      </c>
      <c r="J34" s="64" t="n">
        <v>205.82</v>
      </c>
      <c r="K34" s="64" t="n">
        <v>408.9</v>
      </c>
      <c r="L34" s="64" t="n">
        <v>347.35</v>
      </c>
      <c r="M34" s="64" t="n">
        <v>782.64</v>
      </c>
      <c r="N34" s="65" t="n">
        <v>100</v>
      </c>
      <c r="O34" s="69" t="n">
        <f aca="false">L34-J34</f>
        <v>141.53</v>
      </c>
      <c r="P34" s="65" t="n">
        <f aca="false">M34-K34</f>
        <v>373.74</v>
      </c>
      <c r="Q34" s="65" t="n">
        <f aca="false">((O34+P34)/O34)*(D34/(D34+H34))*C34</f>
        <v>10.6923769092023</v>
      </c>
      <c r="R34" s="70" t="n">
        <f aca="false">$B$24/Q34*100</f>
        <v>59.1517003918154</v>
      </c>
      <c r="S34" s="71"/>
      <c r="T34" s="71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9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customFormat="false" ht="15.75" hidden="false" customHeight="false" outlineLevel="0" collapsed="false">
      <c r="A35" s="63" t="n">
        <v>3</v>
      </c>
      <c r="B35" s="73" t="n">
        <v>26</v>
      </c>
      <c r="C35" s="64" t="n">
        <v>3.41</v>
      </c>
      <c r="D35" s="64" t="n">
        <v>509.78</v>
      </c>
      <c r="E35" s="65" t="n">
        <f aca="false">(B35*D35*$B$20*C35)/($B$19*$B$27)</f>
        <v>90.3941636929469</v>
      </c>
      <c r="F35" s="66" t="n">
        <v>97.51</v>
      </c>
      <c r="G35" s="66" t="n">
        <v>2.74</v>
      </c>
      <c r="H35" s="72" t="n">
        <f aca="false">F35-G35</f>
        <v>94.77</v>
      </c>
      <c r="I35" s="68" t="n">
        <f aca="false">(H35*$B$27*$B$19)/ (D35*$B$20*C35)</f>
        <v>27.2586182485171</v>
      </c>
      <c r="J35" s="64" t="n">
        <v>159.42</v>
      </c>
      <c r="K35" s="64" t="n">
        <v>408.25</v>
      </c>
      <c r="L35" s="64" t="n">
        <v>295.74</v>
      </c>
      <c r="M35" s="64" t="n">
        <v>827.41</v>
      </c>
      <c r="N35" s="65" t="n">
        <v>100</v>
      </c>
      <c r="O35" s="69" t="n">
        <f aca="false">L35-J35</f>
        <v>136.32</v>
      </c>
      <c r="P35" s="65" t="n">
        <f aca="false">M35-K35</f>
        <v>419.16</v>
      </c>
      <c r="Q35" s="65" t="n">
        <f aca="false">((O35+P35)/O35)*(D35/(D35+H35))*C35</f>
        <v>11.7169289347449</v>
      </c>
      <c r="R35" s="70" t="n">
        <f aca="false">$B$24/Q35*100</f>
        <v>53.9793557622418</v>
      </c>
      <c r="S35" s="71"/>
      <c r="T35" s="71"/>
      <c r="U35" s="27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9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customFormat="false" ht="15.75" hidden="false" customHeight="false" outlineLevel="0" collapsed="false">
      <c r="A36" s="63" t="n">
        <v>4</v>
      </c>
      <c r="B36" s="64" t="n">
        <v>28.5</v>
      </c>
      <c r="C36" s="64" t="n">
        <v>3.41</v>
      </c>
      <c r="D36" s="64" t="n">
        <v>506.6</v>
      </c>
      <c r="E36" s="65" t="n">
        <f aca="false">(B36*D36*$B$20*C36)/($B$19*$B$27)</f>
        <v>98.4678137790311</v>
      </c>
      <c r="F36" s="66" t="n">
        <v>103.21</v>
      </c>
      <c r="G36" s="66" t="n">
        <v>1.7</v>
      </c>
      <c r="H36" s="72" t="n">
        <f aca="false">F36-G36</f>
        <v>101.51</v>
      </c>
      <c r="I36" s="68" t="n">
        <f aca="false">(H36*$B$27*$B$19)/ (D36*$B$20*C36)</f>
        <v>29.3805141900701</v>
      </c>
      <c r="J36" s="64" t="n">
        <v>401.84</v>
      </c>
      <c r="K36" s="64" t="n">
        <v>359.01</v>
      </c>
      <c r="L36" s="64" t="n">
        <v>550.82</v>
      </c>
      <c r="M36" s="64" t="n">
        <v>771.74</v>
      </c>
      <c r="N36" s="65" t="n">
        <v>100</v>
      </c>
      <c r="O36" s="69" t="n">
        <f aca="false">L36-J36</f>
        <v>148.98</v>
      </c>
      <c r="P36" s="65" t="n">
        <f aca="false">M36-K36</f>
        <v>412.73</v>
      </c>
      <c r="Q36" s="65" t="n">
        <f aca="false">((O36+P36)/O36)*(D36/(D36+H36))*C36</f>
        <v>10.7107924780506</v>
      </c>
      <c r="R36" s="70" t="n">
        <f aca="false">$B$24/Q36*100</f>
        <v>59.0499980935685</v>
      </c>
      <c r="S36" s="71"/>
      <c r="T36" s="71"/>
      <c r="U36" s="27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9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customFormat="false" ht="15.75" hidden="false" customHeight="false" outlineLevel="0" collapsed="false">
      <c r="A37" s="63" t="n">
        <v>5</v>
      </c>
      <c r="B37" s="64" t="n">
        <v>31.5</v>
      </c>
      <c r="C37" s="64" t="n">
        <v>3.41</v>
      </c>
      <c r="D37" s="64" t="n">
        <v>502.02</v>
      </c>
      <c r="E37" s="65" t="n">
        <f aca="false">(B37*D37*$B$20*C37)/($B$19*$B$27)</f>
        <v>107.848925690395</v>
      </c>
      <c r="F37" s="66" t="n">
        <v>116.12</v>
      </c>
      <c r="G37" s="66" t="n">
        <v>4.02</v>
      </c>
      <c r="H37" s="72" t="n">
        <f aca="false">F37-G37</f>
        <v>112.1</v>
      </c>
      <c r="I37" s="68" t="n">
        <f aca="false">(H37*$B$27*$B$19)/ (D37*$B$20*C37)</f>
        <v>32.7416335155434</v>
      </c>
      <c r="J37" s="64" t="n">
        <v>509.78</v>
      </c>
      <c r="K37" s="64" t="n">
        <v>399.07</v>
      </c>
      <c r="L37" s="64" t="n">
        <v>675.12</v>
      </c>
      <c r="M37" s="64" t="n">
        <v>810</v>
      </c>
      <c r="N37" s="65" t="n">
        <v>100</v>
      </c>
      <c r="O37" s="69" t="n">
        <f aca="false">L37-J37</f>
        <v>165.34</v>
      </c>
      <c r="P37" s="65" t="n">
        <f aca="false">M37-K37</f>
        <v>410.93</v>
      </c>
      <c r="Q37" s="65" t="n">
        <f aca="false">((O37+P37)/O37)*(D37/(D37+H37))*C37</f>
        <v>9.71561362123871</v>
      </c>
      <c r="R37" s="70" t="n">
        <f aca="false">$B$24/Q37*100</f>
        <v>65.0985413856813</v>
      </c>
      <c r="S37" s="71"/>
      <c r="T37" s="71"/>
      <c r="U37" s="27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9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customFormat="false" ht="15.75" hidden="false" customHeight="false" outlineLevel="0" collapsed="false">
      <c r="A38" s="74"/>
      <c r="B38" s="75" t="n">
        <v>35</v>
      </c>
      <c r="C38" s="75" t="n">
        <v>3.41</v>
      </c>
      <c r="D38" s="75" t="n">
        <v>500.45</v>
      </c>
      <c r="E38" s="76" t="n">
        <f aca="false">(B38*D38*$B$20*C38)/($B$19*$B$27)</f>
        <v>119.457380763401</v>
      </c>
      <c r="F38" s="77" t="n">
        <v>120.24</v>
      </c>
      <c r="G38" s="77" t="n">
        <v>1.12</v>
      </c>
      <c r="H38" s="72" t="n">
        <f aca="false">F38-G38</f>
        <v>119.12</v>
      </c>
      <c r="I38" s="68" t="n">
        <f aca="false">(H38*$B$27*$B$19)/ (D38*$B$20*C38)</f>
        <v>34.901150296084</v>
      </c>
      <c r="J38" s="64" t="n">
        <v>401.84</v>
      </c>
      <c r="K38" s="64" t="n">
        <v>359.01</v>
      </c>
      <c r="L38" s="75" t="n">
        <v>558.54</v>
      </c>
      <c r="M38" s="75" t="n">
        <v>808.95</v>
      </c>
      <c r="N38" s="65" t="n">
        <v>101</v>
      </c>
      <c r="O38" s="69" t="n">
        <f aca="false">L38-J38</f>
        <v>156.7</v>
      </c>
      <c r="P38" s="65" t="n">
        <f aca="false">M38-K38</f>
        <v>449.94</v>
      </c>
      <c r="Q38" s="65" t="n">
        <f aca="false">((O38+P38)/O38)*(D38/(D38+H38))*C38</f>
        <v>10.6631799494429</v>
      </c>
      <c r="R38" s="70" t="n">
        <f aca="false">$B$24/Q38*100</f>
        <v>59.3136642547744</v>
      </c>
      <c r="S38" s="71"/>
      <c r="T38" s="71"/>
      <c r="U38" s="27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9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customFormat="false" ht="18" hidden="false" customHeight="true" outlineLevel="0" collapsed="false">
      <c r="A39" s="78" t="s">
        <v>74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3"/>
      <c r="O39" s="3"/>
      <c r="P39" s="3"/>
      <c r="Q39" s="3"/>
      <c r="R39" s="3" t="n">
        <v>0</v>
      </c>
      <c r="S39" s="3"/>
      <c r="T39" s="3"/>
      <c r="U39" s="27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9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customFormat="false" ht="15.75" hidden="false" customHeight="true" outlineLevel="0" collapsed="false">
      <c r="A40" s="60" t="s">
        <v>56</v>
      </c>
      <c r="B40" s="60" t="s">
        <v>75</v>
      </c>
      <c r="C40" s="61" t="s">
        <v>76</v>
      </c>
      <c r="D40" s="79" t="s">
        <v>77</v>
      </c>
      <c r="E40" s="79"/>
      <c r="F40" s="79"/>
      <c r="G40" s="79"/>
      <c r="H40" s="79"/>
      <c r="I40" s="80" t="s">
        <v>78</v>
      </c>
      <c r="J40" s="80"/>
      <c r="K40" s="80"/>
      <c r="L40" s="80"/>
      <c r="M40" s="80"/>
      <c r="N40" s="3"/>
      <c r="O40" s="3"/>
      <c r="P40" s="3"/>
      <c r="Q40" s="3"/>
      <c r="R40" s="3"/>
      <c r="S40" s="3"/>
      <c r="T40" s="3"/>
      <c r="U40" s="27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9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customFormat="false" ht="15.75" hidden="false" customHeight="false" outlineLevel="0" collapsed="false">
      <c r="A41" s="81" t="n">
        <v>1</v>
      </c>
      <c r="B41" s="82" t="n">
        <f aca="false">AVERAGE(D41:H41)</f>
        <v>73.2333333333333</v>
      </c>
      <c r="C41" s="83" t="n">
        <f aca="false">AVERAGE(I41:K41)</f>
        <v>39.5333333333333</v>
      </c>
      <c r="D41" s="84" t="n">
        <v>73.6</v>
      </c>
      <c r="E41" s="85" t="n">
        <v>70.2</v>
      </c>
      <c r="F41" s="85" t="n">
        <v>75.9</v>
      </c>
      <c r="G41" s="85"/>
      <c r="H41" s="86"/>
      <c r="I41" s="87" t="n">
        <v>39.9</v>
      </c>
      <c r="J41" s="88" t="n">
        <v>39</v>
      </c>
      <c r="K41" s="88" t="n">
        <v>39.7</v>
      </c>
      <c r="L41" s="88"/>
      <c r="M41" s="89"/>
      <c r="N41" s="3"/>
      <c r="O41" s="3"/>
      <c r="P41" s="3"/>
      <c r="Q41" s="3"/>
      <c r="R41" s="3"/>
      <c r="S41" s="3"/>
      <c r="T41" s="3"/>
      <c r="U41" s="27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9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customFormat="false" ht="15.75" hidden="false" customHeight="false" outlineLevel="0" collapsed="false">
      <c r="A42" s="81" t="n">
        <v>2</v>
      </c>
      <c r="B42" s="82" t="n">
        <f aca="false">AVERAGE(D42:F42)</f>
        <v>48</v>
      </c>
      <c r="C42" s="83" t="n">
        <f aca="false">AVERAGE(J42:K42)</f>
        <v>37.4</v>
      </c>
      <c r="D42" s="87" t="n">
        <v>48.1</v>
      </c>
      <c r="E42" s="88" t="n">
        <v>48.7</v>
      </c>
      <c r="F42" s="88" t="n">
        <v>47.2</v>
      </c>
      <c r="G42" s="88" t="n">
        <v>36.6</v>
      </c>
      <c r="H42" s="89"/>
      <c r="I42" s="87" t="n">
        <v>42.2</v>
      </c>
      <c r="J42" s="88" t="n">
        <v>38.2</v>
      </c>
      <c r="K42" s="88" t="n">
        <v>36.6</v>
      </c>
      <c r="L42" s="88"/>
      <c r="M42" s="89"/>
      <c r="N42" s="3"/>
      <c r="O42" s="3"/>
      <c r="P42" s="3"/>
      <c r="Q42" s="3"/>
      <c r="R42" s="3"/>
      <c r="S42" s="3"/>
      <c r="T42" s="3"/>
      <c r="U42" s="27"/>
      <c r="V42" s="28"/>
      <c r="W42" s="28"/>
      <c r="X42" s="28"/>
      <c r="Y42" s="28"/>
      <c r="Z42" s="28"/>
      <c r="AA42" s="28"/>
      <c r="AB42" s="28"/>
      <c r="AC42" s="90"/>
      <c r="AD42" s="90"/>
      <c r="AE42" s="90"/>
      <c r="AF42" s="90"/>
      <c r="AG42" s="90"/>
      <c r="AH42" s="90"/>
      <c r="AI42" s="90"/>
      <c r="AJ42" s="90"/>
      <c r="AK42" s="91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customFormat="false" ht="34.5" hidden="false" customHeight="true" outlineLevel="0" collapsed="false">
      <c r="A43" s="81" t="n">
        <v>3</v>
      </c>
      <c r="B43" s="82" t="n">
        <f aca="false">AVERAGE(D43:F43)</f>
        <v>46.8333333333333</v>
      </c>
      <c r="C43" s="83" t="n">
        <f aca="false">AVERAGE(J43:K43)</f>
        <v>31.05</v>
      </c>
      <c r="D43" s="87" t="n">
        <v>50.2</v>
      </c>
      <c r="E43" s="88" t="n">
        <v>44.7</v>
      </c>
      <c r="F43" s="88" t="n">
        <v>45.6</v>
      </c>
      <c r="G43" s="88" t="n">
        <v>37.4</v>
      </c>
      <c r="H43" s="89"/>
      <c r="I43" s="87" t="n">
        <v>31.3</v>
      </c>
      <c r="J43" s="88" t="n">
        <v>31.4</v>
      </c>
      <c r="K43" s="88" t="n">
        <v>30.7</v>
      </c>
      <c r="L43" s="88"/>
      <c r="M43" s="89"/>
      <c r="N43" s="3"/>
      <c r="O43" s="3"/>
      <c r="P43" s="3"/>
      <c r="Q43" s="3"/>
      <c r="R43" s="3"/>
      <c r="S43" s="3"/>
      <c r="T43" s="3"/>
      <c r="U43" s="92" t="s">
        <v>79</v>
      </c>
      <c r="V43" s="92"/>
      <c r="W43" s="92"/>
      <c r="X43" s="92"/>
      <c r="Y43" s="92"/>
      <c r="Z43" s="92"/>
      <c r="AA43" s="92"/>
      <c r="AB43" s="92"/>
      <c r="AC43" s="93" t="s">
        <v>80</v>
      </c>
      <c r="AD43" s="93"/>
      <c r="AE43" s="93"/>
      <c r="AF43" s="93"/>
      <c r="AG43" s="93"/>
      <c r="AH43" s="93"/>
      <c r="AI43" s="93"/>
      <c r="AJ43" s="93"/>
      <c r="AK43" s="9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customFormat="false" ht="15.75" hidden="false" customHeight="true" outlineLevel="0" collapsed="false">
      <c r="A44" s="81" t="n">
        <v>4</v>
      </c>
      <c r="B44" s="82" t="n">
        <f aca="false">AVERAGE(D44:F44)</f>
        <v>37.7333333333333</v>
      </c>
      <c r="C44" s="83" t="n">
        <f aca="false">AVERAGE(I44:K44)</f>
        <v>28.4</v>
      </c>
      <c r="D44" s="87" t="n">
        <v>38.4</v>
      </c>
      <c r="E44" s="88" t="n">
        <v>38.6</v>
      </c>
      <c r="F44" s="88" t="n">
        <v>36.2</v>
      </c>
      <c r="G44" s="88" t="n">
        <v>32.4</v>
      </c>
      <c r="H44" s="89"/>
      <c r="I44" s="87" t="n">
        <v>27.1</v>
      </c>
      <c r="J44" s="88" t="n">
        <v>28.8</v>
      </c>
      <c r="K44" s="88" t="n">
        <v>29.3</v>
      </c>
      <c r="L44" s="88"/>
      <c r="M44" s="89"/>
      <c r="N44" s="3"/>
      <c r="O44" s="3"/>
      <c r="P44" s="3"/>
      <c r="Q44" s="3"/>
      <c r="R44" s="3"/>
      <c r="S44" s="3"/>
      <c r="T44" s="3"/>
      <c r="U44" s="92"/>
      <c r="V44" s="92"/>
      <c r="W44" s="92"/>
      <c r="X44" s="92"/>
      <c r="Y44" s="92"/>
      <c r="Z44" s="92"/>
      <c r="AA44" s="92"/>
      <c r="AB44" s="92"/>
      <c r="AC44" s="93"/>
      <c r="AD44" s="93"/>
      <c r="AE44" s="93"/>
      <c r="AF44" s="93"/>
      <c r="AG44" s="93"/>
      <c r="AH44" s="93"/>
      <c r="AI44" s="93"/>
      <c r="AJ44" s="93"/>
      <c r="AK44" s="9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customFormat="false" ht="15.75" hidden="false" customHeight="true" outlineLevel="0" collapsed="false">
      <c r="A45" s="81" t="n">
        <v>5</v>
      </c>
      <c r="B45" s="82" t="n">
        <f aca="false">AVERAGE(D45:F45)</f>
        <v>28.2333333333333</v>
      </c>
      <c r="C45" s="83" t="n">
        <f aca="false">AVERAGE(I45:M45)</f>
        <v>15.8</v>
      </c>
      <c r="D45" s="87" t="n">
        <v>28.3</v>
      </c>
      <c r="E45" s="88" t="n">
        <v>27.3</v>
      </c>
      <c r="F45" s="88" t="n">
        <v>29.1</v>
      </c>
      <c r="G45" s="88" t="n">
        <v>19.8</v>
      </c>
      <c r="H45" s="89"/>
      <c r="I45" s="87" t="n">
        <v>22.1</v>
      </c>
      <c r="J45" s="88" t="n">
        <v>12.8</v>
      </c>
      <c r="K45" s="88" t="n">
        <v>12.5</v>
      </c>
      <c r="L45" s="88"/>
      <c r="M45" s="89"/>
      <c r="N45" s="3"/>
      <c r="O45" s="3"/>
      <c r="P45" s="3"/>
      <c r="Q45" s="3"/>
      <c r="R45" s="3"/>
      <c r="S45" s="3"/>
      <c r="T45" s="3"/>
      <c r="U45" s="27"/>
      <c r="V45" s="28"/>
      <c r="W45" s="28"/>
      <c r="X45" s="28"/>
      <c r="Y45" s="28"/>
      <c r="Z45" s="28"/>
      <c r="AA45" s="28"/>
      <c r="AB45" s="94"/>
      <c r="AC45" s="28"/>
      <c r="AD45" s="28"/>
      <c r="AE45" s="28"/>
      <c r="AF45" s="28"/>
      <c r="AG45" s="28"/>
      <c r="AH45" s="28"/>
      <c r="AI45" s="28"/>
      <c r="AJ45" s="28"/>
      <c r="AK45" s="95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customFormat="false" ht="15.75" hidden="false" customHeight="true" outlineLevel="0" collapsed="false">
      <c r="A46" s="81" t="n">
        <v>5</v>
      </c>
      <c r="B46" s="82" t="n">
        <f aca="false">AVERAGE(D46:F46)</f>
        <v>28.6</v>
      </c>
      <c r="C46" s="83" t="n">
        <f aca="false">AVERAGE(I46:M46)</f>
        <v>12</v>
      </c>
      <c r="D46" s="87" t="n">
        <v>27.3</v>
      </c>
      <c r="E46" s="88" t="n">
        <v>29.7</v>
      </c>
      <c r="F46" s="88" t="n">
        <v>28.8</v>
      </c>
      <c r="G46" s="88" t="n">
        <v>19.6</v>
      </c>
      <c r="H46" s="89"/>
      <c r="I46" s="87" t="n">
        <v>11.8</v>
      </c>
      <c r="J46" s="88" t="n">
        <v>11.7</v>
      </c>
      <c r="K46" s="88" t="n">
        <v>12.5</v>
      </c>
      <c r="L46" s="88"/>
      <c r="M46" s="89"/>
      <c r="N46" s="3"/>
      <c r="O46" s="3"/>
      <c r="P46" s="3"/>
      <c r="Q46" s="3"/>
      <c r="R46" s="3"/>
      <c r="S46" s="3"/>
      <c r="T46" s="3"/>
      <c r="U46" s="27"/>
      <c r="V46" s="28"/>
      <c r="W46" s="28"/>
      <c r="X46" s="28"/>
      <c r="Y46" s="28"/>
      <c r="Z46" s="28"/>
      <c r="AA46" s="28"/>
      <c r="AB46" s="94"/>
      <c r="AC46" s="28"/>
      <c r="AD46" s="28"/>
      <c r="AE46" s="28"/>
      <c r="AF46" s="28"/>
      <c r="AG46" s="28"/>
      <c r="AH46" s="28"/>
      <c r="AI46" s="28"/>
      <c r="AJ46" s="28"/>
      <c r="AK46" s="95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7"/>
      <c r="V47" s="28"/>
      <c r="W47" s="28"/>
      <c r="X47" s="96" t="s">
        <v>81</v>
      </c>
      <c r="Y47" s="96"/>
      <c r="Z47" s="96"/>
      <c r="AA47" s="28"/>
      <c r="AB47" s="94"/>
      <c r="AC47" s="28"/>
      <c r="AD47" s="28"/>
      <c r="AE47" s="28"/>
      <c r="AF47" s="28"/>
      <c r="AG47" s="28"/>
      <c r="AH47" s="28"/>
      <c r="AI47" s="28"/>
      <c r="AJ47" s="28"/>
      <c r="AK47" s="95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customFormat="false" ht="21" hidden="false" customHeight="true" outlineLevel="0" collapsed="false">
      <c r="A48" s="97" t="s">
        <v>82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3"/>
      <c r="R48" s="3"/>
      <c r="S48" s="3"/>
      <c r="T48" s="3"/>
      <c r="U48" s="27"/>
      <c r="V48" s="28"/>
      <c r="W48" s="28"/>
      <c r="X48" s="96"/>
      <c r="Y48" s="96" t="s">
        <v>18</v>
      </c>
      <c r="Z48" s="96" t="s">
        <v>83</v>
      </c>
      <c r="AA48" s="28"/>
      <c r="AB48" s="94"/>
      <c r="AC48" s="28"/>
      <c r="AD48" s="28"/>
      <c r="AE48" s="28"/>
      <c r="AF48" s="28"/>
      <c r="AG48" s="28"/>
      <c r="AH48" s="28"/>
      <c r="AI48" s="28"/>
      <c r="AJ48" s="28"/>
      <c r="AK48" s="95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customFormat="false" ht="21.75" hidden="false" customHeight="true" outlineLevel="0" collapsed="false">
      <c r="A49" s="59" t="s">
        <v>84</v>
      </c>
      <c r="B49" s="60" t="s">
        <v>85</v>
      </c>
      <c r="C49" s="60" t="s">
        <v>86</v>
      </c>
      <c r="D49" s="60" t="s">
        <v>87</v>
      </c>
      <c r="E49" s="60" t="s">
        <v>88</v>
      </c>
      <c r="F49" s="60" t="s">
        <v>89</v>
      </c>
      <c r="G49" s="60" t="s">
        <v>90</v>
      </c>
      <c r="H49" s="60" t="s">
        <v>91</v>
      </c>
      <c r="I49" s="60" t="s">
        <v>92</v>
      </c>
      <c r="J49" s="60" t="s">
        <v>93</v>
      </c>
      <c r="K49" s="60" t="s">
        <v>94</v>
      </c>
      <c r="L49" s="60" t="s">
        <v>95</v>
      </c>
      <c r="M49" s="60" t="s">
        <v>96</v>
      </c>
      <c r="N49" s="60" t="s">
        <v>97</v>
      </c>
      <c r="O49" s="60" t="s">
        <v>98</v>
      </c>
      <c r="P49" s="98" t="s">
        <v>99</v>
      </c>
      <c r="Q49" s="3"/>
      <c r="R49" s="3"/>
      <c r="S49" s="3"/>
      <c r="T49" s="3"/>
      <c r="U49" s="27"/>
      <c r="V49" s="28"/>
      <c r="W49" s="28"/>
      <c r="X49" s="99" t="s">
        <v>100</v>
      </c>
      <c r="Y49" s="99" t="s">
        <v>101</v>
      </c>
      <c r="Z49" s="99" t="s">
        <v>34</v>
      </c>
      <c r="AA49" s="28"/>
      <c r="AB49" s="94"/>
      <c r="AC49" s="28"/>
      <c r="AD49" s="28"/>
      <c r="AE49" s="28"/>
      <c r="AF49" s="28"/>
      <c r="AG49" s="28"/>
      <c r="AH49" s="28"/>
      <c r="AI49" s="28"/>
      <c r="AJ49" s="28"/>
      <c r="AK49" s="95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customFormat="false" ht="21" hidden="false" customHeight="true" outlineLevel="0" collapsed="false">
      <c r="A50" s="100" t="n">
        <v>1</v>
      </c>
      <c r="B50" s="101" t="n">
        <v>1.1038</v>
      </c>
      <c r="C50" s="101" t="n">
        <v>1.1116</v>
      </c>
      <c r="D50" s="49" t="n">
        <v>10</v>
      </c>
      <c r="E50" s="49" t="n">
        <v>10</v>
      </c>
      <c r="F50" s="102" t="n">
        <v>1.1137</v>
      </c>
      <c r="G50" s="102" t="n">
        <v>1.1225</v>
      </c>
      <c r="H50" s="49" t="n">
        <v>1</v>
      </c>
      <c r="I50" s="103" t="n">
        <f aca="false">(F50-B50)*1000*H50/D50</f>
        <v>0.990000000000002</v>
      </c>
      <c r="J50" s="103" t="n">
        <f aca="false">(G50-C50)*1000*H50/E50</f>
        <v>1.09000000000001</v>
      </c>
      <c r="K50" s="104" t="n">
        <f aca="false">AVERAGE(I50:J50)</f>
        <v>1.04000000000001</v>
      </c>
      <c r="L50" s="88" t="n">
        <v>1.1085</v>
      </c>
      <c r="M50" s="88" t="n">
        <v>1.1138</v>
      </c>
      <c r="N50" s="105" t="n">
        <f aca="false">(F50-L50)/E50*1000000</f>
        <v>519.999999999987</v>
      </c>
      <c r="O50" s="53" t="n">
        <f aca="false">(G50-M50)/E50*1000000</f>
        <v>870.000000000015</v>
      </c>
      <c r="P50" s="106" t="n">
        <f aca="false">AVERAGE(N50:O50)</f>
        <v>695.000000000001</v>
      </c>
      <c r="Q50" s="3"/>
      <c r="R50" s="3"/>
      <c r="S50" s="3"/>
      <c r="T50" s="3"/>
      <c r="U50" s="27"/>
      <c r="V50" s="28"/>
      <c r="W50" s="28"/>
      <c r="X50" s="99"/>
      <c r="Y50" s="99" t="s">
        <v>102</v>
      </c>
      <c r="Z50" s="99" t="s">
        <v>103</v>
      </c>
      <c r="AA50" s="28"/>
      <c r="AB50" s="94"/>
      <c r="AC50" s="28"/>
      <c r="AD50" s="28"/>
      <c r="AE50" s="28"/>
      <c r="AF50" s="28"/>
      <c r="AG50" s="28"/>
      <c r="AH50" s="28"/>
      <c r="AI50" s="28"/>
      <c r="AJ50" s="28"/>
      <c r="AK50" s="95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customFormat="false" ht="15.75" hidden="false" customHeight="false" outlineLevel="0" collapsed="false">
      <c r="A51" s="100" t="n">
        <v>2</v>
      </c>
      <c r="B51" s="101" t="n">
        <v>1.1345</v>
      </c>
      <c r="C51" s="107" t="n">
        <v>1.1268</v>
      </c>
      <c r="D51" s="49" t="n">
        <v>10</v>
      </c>
      <c r="E51" s="49" t="n">
        <v>10</v>
      </c>
      <c r="F51" s="102" t="n">
        <v>1.1422</v>
      </c>
      <c r="G51" s="102" t="n">
        <v>1.1358</v>
      </c>
      <c r="H51" s="49" t="n">
        <v>1</v>
      </c>
      <c r="I51" s="103" t="n">
        <f aca="false">(F51-B51)*1000*H51/D51</f>
        <v>0.770000000000004</v>
      </c>
      <c r="J51" s="103" t="n">
        <f aca="false">(G51-C51)*1000*H51/E51</f>
        <v>0.89999999999999</v>
      </c>
      <c r="K51" s="104" t="n">
        <f aca="false">AVERAGE(I51:J51)</f>
        <v>0.834999999999997</v>
      </c>
      <c r="L51" s="88" t="n">
        <v>1.136</v>
      </c>
      <c r="M51" s="88" t="n">
        <v>1.1286</v>
      </c>
      <c r="N51" s="105" t="n">
        <f aca="false">(F51-L51)/E51*1000000</f>
        <v>620.000000000021</v>
      </c>
      <c r="O51" s="53" t="n">
        <f aca="false">(G51-M51)/E51*1000000</f>
        <v>719.999999999987</v>
      </c>
      <c r="P51" s="106" t="n">
        <f aca="false">AVERAGE(N51:O51)</f>
        <v>670.000000000004</v>
      </c>
      <c r="Q51" s="3"/>
      <c r="R51" s="3"/>
      <c r="S51" s="3"/>
      <c r="T51" s="3"/>
      <c r="U51" s="27"/>
      <c r="V51" s="28"/>
      <c r="W51" s="28"/>
      <c r="X51" s="28"/>
      <c r="Y51" s="28"/>
      <c r="Z51" s="28"/>
      <c r="AA51" s="28"/>
      <c r="AB51" s="94"/>
      <c r="AC51" s="28"/>
      <c r="AD51" s="28"/>
      <c r="AE51" s="28"/>
      <c r="AF51" s="28"/>
      <c r="AG51" s="28"/>
      <c r="AH51" s="28"/>
      <c r="AI51" s="28"/>
      <c r="AJ51" s="28"/>
      <c r="AK51" s="95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customFormat="false" ht="15.75" hidden="false" customHeight="false" outlineLevel="0" collapsed="false">
      <c r="A52" s="100" t="n">
        <v>3</v>
      </c>
      <c r="B52" s="101" t="n">
        <v>1.114</v>
      </c>
      <c r="C52" s="81" t="n">
        <v>1.1224</v>
      </c>
      <c r="D52" s="49" t="n">
        <v>10</v>
      </c>
      <c r="E52" s="49" t="n">
        <v>10</v>
      </c>
      <c r="F52" s="102" t="n">
        <v>1.1231</v>
      </c>
      <c r="G52" s="102" t="n">
        <v>1.1285</v>
      </c>
      <c r="H52" s="49" t="n">
        <v>1</v>
      </c>
      <c r="I52" s="103" t="n">
        <f aca="false">(F52-B52)*1000*H52/D52</f>
        <v>0.909999999999989</v>
      </c>
      <c r="J52" s="103" t="n">
        <f aca="false">(G52-C52)*1000*H52/E52</f>
        <v>0.609999999999999</v>
      </c>
      <c r="K52" s="104" t="n">
        <f aca="false">AVERAGE(I52:J52)</f>
        <v>0.759999999999994</v>
      </c>
      <c r="L52" s="88" t="n">
        <v>1.116</v>
      </c>
      <c r="M52" s="88" t="n">
        <v>1.1233</v>
      </c>
      <c r="N52" s="105" t="n">
        <f aca="false">(F52-L52)/E52*1000000</f>
        <v>709.999999999988</v>
      </c>
      <c r="O52" s="53" t="n">
        <f aca="false">(G52-M52)/E52*1000000</f>
        <v>520.000000000009</v>
      </c>
      <c r="P52" s="106" t="n">
        <f aca="false">AVERAGE(N52:O52)</f>
        <v>614.999999999999</v>
      </c>
      <c r="Q52" s="3"/>
      <c r="R52" s="3"/>
      <c r="S52" s="3"/>
      <c r="T52" s="3"/>
      <c r="U52" s="27"/>
      <c r="V52" s="108" t="s">
        <v>5</v>
      </c>
      <c r="W52" s="108"/>
      <c r="X52" s="108"/>
      <c r="Y52" s="108"/>
      <c r="Z52" s="108"/>
      <c r="AA52" s="28"/>
      <c r="AB52" s="94"/>
      <c r="AC52" s="28"/>
      <c r="AD52" s="28"/>
      <c r="AE52" s="28"/>
      <c r="AF52" s="28"/>
      <c r="AG52" s="28"/>
      <c r="AH52" s="28"/>
      <c r="AI52" s="28"/>
      <c r="AJ52" s="28"/>
      <c r="AK52" s="95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customFormat="false" ht="15.75" hidden="false" customHeight="false" outlineLevel="0" collapsed="false">
      <c r="A53" s="100" t="n">
        <v>4</v>
      </c>
      <c r="B53" s="107" t="n">
        <v>1.1174</v>
      </c>
      <c r="C53" s="109" t="n">
        <v>1.115</v>
      </c>
      <c r="D53" s="49" t="n">
        <v>10</v>
      </c>
      <c r="E53" s="49" t="n">
        <v>10</v>
      </c>
      <c r="F53" s="102" t="n">
        <v>1.1213</v>
      </c>
      <c r="G53" s="102" t="n">
        <v>1.119</v>
      </c>
      <c r="H53" s="49" t="n">
        <v>1</v>
      </c>
      <c r="I53" s="103" t="n">
        <f aca="false">(F53-B53)*1000*H53/D53</f>
        <v>0.390000000000001</v>
      </c>
      <c r="J53" s="103" t="n">
        <f aca="false">(G53-C53)*1000*H53/E53</f>
        <v>0.4</v>
      </c>
      <c r="K53" s="104" t="n">
        <f aca="false">AVERAGE(I53:J53)</f>
        <v>0.395000000000001</v>
      </c>
      <c r="L53" s="88" t="n">
        <v>1.1179</v>
      </c>
      <c r="M53" s="88" t="n">
        <v>1.1148</v>
      </c>
      <c r="N53" s="105" t="n">
        <f aca="false">(F53-L53)/E53*1000000</f>
        <v>340.000000000007</v>
      </c>
      <c r="O53" s="53" t="n">
        <f aca="false">(G53-M53)/E53*1000000</f>
        <v>419.999999999998</v>
      </c>
      <c r="P53" s="106" t="n">
        <f aca="false">AVERAGE(N53:O53)</f>
        <v>380.000000000003</v>
      </c>
      <c r="Q53" s="3"/>
      <c r="R53" s="3"/>
      <c r="S53" s="3"/>
      <c r="T53" s="3"/>
      <c r="U53" s="27"/>
      <c r="V53" s="110"/>
      <c r="W53" s="111"/>
      <c r="X53" s="111"/>
      <c r="Y53" s="112" t="s">
        <v>9</v>
      </c>
      <c r="Z53" s="113"/>
      <c r="AA53" s="28"/>
      <c r="AB53" s="94"/>
      <c r="AC53" s="28"/>
      <c r="AD53" s="28"/>
      <c r="AE53" s="28"/>
      <c r="AF53" s="28"/>
      <c r="AG53" s="28"/>
      <c r="AH53" s="28"/>
      <c r="AI53" s="28"/>
      <c r="AJ53" s="28"/>
      <c r="AK53" s="29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customFormat="false" ht="15.75" hidden="false" customHeight="false" outlineLevel="0" collapsed="false">
      <c r="A54" s="100" t="n">
        <v>5</v>
      </c>
      <c r="B54" s="107" t="n">
        <v>1.1218</v>
      </c>
      <c r="C54" s="109" t="n">
        <v>1.1165</v>
      </c>
      <c r="D54" s="49" t="n">
        <v>10</v>
      </c>
      <c r="E54" s="49" t="n">
        <v>10</v>
      </c>
      <c r="F54" s="102" t="n">
        <v>1.1253</v>
      </c>
      <c r="G54" s="102" t="n">
        <v>1.1197</v>
      </c>
      <c r="H54" s="49" t="n">
        <v>1</v>
      </c>
      <c r="I54" s="103" t="n">
        <f aca="false">(F54-B54)*1000*H54/D54</f>
        <v>0.350000000000006</v>
      </c>
      <c r="J54" s="103" t="n">
        <f aca="false">(G54-C54)*1000*H54/E54</f>
        <v>0.319999999999987</v>
      </c>
      <c r="K54" s="104" t="n">
        <f aca="false">AVERAGE(I54:J54)</f>
        <v>0.334999999999996</v>
      </c>
      <c r="L54" s="88" t="n">
        <v>1.1217</v>
      </c>
      <c r="M54" s="88" t="n">
        <v>1.1168</v>
      </c>
      <c r="N54" s="105" t="n">
        <f aca="false">(F54-L54)/E54*1000000</f>
        <v>360.000000000005</v>
      </c>
      <c r="O54" s="53" t="n">
        <f aca="false">(G54-M54)/E54*1000000</f>
        <v>289.99999999999</v>
      </c>
      <c r="P54" s="106" t="n">
        <f aca="false">AVERAGE(N54:O54)</f>
        <v>324.999999999998</v>
      </c>
      <c r="Q54" s="3"/>
      <c r="R54" s="3"/>
      <c r="S54" s="3"/>
      <c r="T54" s="3"/>
      <c r="U54" s="27"/>
      <c r="V54" s="114"/>
      <c r="W54" s="115" t="s">
        <v>12</v>
      </c>
      <c r="X54" s="115" t="s">
        <v>13</v>
      </c>
      <c r="Y54" s="115" t="s">
        <v>14</v>
      </c>
      <c r="Z54" s="116" t="s">
        <v>15</v>
      </c>
      <c r="AA54" s="28"/>
      <c r="AB54" s="94"/>
      <c r="AC54" s="28"/>
      <c r="AD54" s="28"/>
      <c r="AE54" s="28"/>
      <c r="AF54" s="117"/>
      <c r="AG54" s="28"/>
      <c r="AH54" s="28"/>
      <c r="AI54" s="28"/>
      <c r="AJ54" s="28"/>
      <c r="AK54" s="29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customFormat="false" ht="15.75" hidden="false" customHeight="false" outlineLevel="0" collapsed="false">
      <c r="A55" s="118" t="n">
        <v>6</v>
      </c>
      <c r="B55" s="107" t="n">
        <v>1.1181</v>
      </c>
      <c r="C55" s="109" t="n">
        <v>1.1172</v>
      </c>
      <c r="D55" s="49" t="n">
        <v>10</v>
      </c>
      <c r="E55" s="49" t="n">
        <v>10</v>
      </c>
      <c r="F55" s="119" t="n">
        <v>1.122</v>
      </c>
      <c r="G55" s="119" t="n">
        <v>1.121</v>
      </c>
      <c r="H55" s="49" t="n">
        <v>1</v>
      </c>
      <c r="I55" s="103" t="n">
        <f aca="false">(F55-B55)*1000*H55/D55</f>
        <v>0.390000000000001</v>
      </c>
      <c r="J55" s="103" t="n">
        <f aca="false">(G55-C55)*1000*H55/E55</f>
        <v>0.380000000000003</v>
      </c>
      <c r="K55" s="104" t="n">
        <f aca="false">AVERAGE(I55:J55)</f>
        <v>0.385000000000002</v>
      </c>
      <c r="L55" s="120" t="n">
        <v>1.1181</v>
      </c>
      <c r="M55" s="120" t="n">
        <v>1.1178</v>
      </c>
      <c r="N55" s="105" t="n">
        <f aca="false">(F55-L55)/E55*1000000</f>
        <v>390.000000000002</v>
      </c>
      <c r="O55" s="53" t="n">
        <f aca="false">(G55-M55)/E55*1000000</f>
        <v>320.000000000009</v>
      </c>
      <c r="P55" s="106" t="n">
        <f aca="false">AVERAGE(N55:O55)</f>
        <v>355.000000000005</v>
      </c>
      <c r="Q55" s="3"/>
      <c r="R55" s="3"/>
      <c r="S55" s="3"/>
      <c r="T55" s="3"/>
      <c r="U55" s="27"/>
      <c r="V55" s="114"/>
      <c r="W55" s="115"/>
      <c r="X55" s="115"/>
      <c r="Y55" s="115"/>
      <c r="Z55" s="116"/>
      <c r="AA55" s="28"/>
      <c r="AB55" s="94"/>
      <c r="AC55" s="28"/>
      <c r="AD55" s="28"/>
      <c r="AE55" s="28"/>
      <c r="AF55" s="117"/>
      <c r="AG55" s="28"/>
      <c r="AH55" s="28"/>
      <c r="AI55" s="28"/>
      <c r="AJ55" s="28"/>
      <c r="AK55" s="29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customFormat="false" ht="40.5" hidden="false" customHeight="true" outlineLevel="0" collapsed="false">
      <c r="A56" s="121" t="s">
        <v>104</v>
      </c>
      <c r="B56" s="107" t="n">
        <v>1.1103</v>
      </c>
      <c r="C56" s="109" t="n">
        <v>1.1087</v>
      </c>
      <c r="D56" s="122" t="n">
        <v>10</v>
      </c>
      <c r="E56" s="122" t="n">
        <v>10</v>
      </c>
      <c r="F56" s="123" t="n">
        <v>1.1169</v>
      </c>
      <c r="G56" s="123" t="n">
        <v>1.1154</v>
      </c>
      <c r="H56" s="49" t="n">
        <v>1</v>
      </c>
      <c r="I56" s="103" t="n">
        <f aca="false">(F56-B56)*1000*H56/D56</f>
        <v>0.659999999999994</v>
      </c>
      <c r="J56" s="103" t="n">
        <f aca="false">(G56-C56)*1000*H56/E56</f>
        <v>0.669999999999993</v>
      </c>
      <c r="K56" s="104" t="n">
        <f aca="false">AVERAGE(I56:J56)</f>
        <v>0.664999999999993</v>
      </c>
      <c r="L56" s="124" t="n">
        <v>1.111</v>
      </c>
      <c r="M56" s="124" t="n">
        <v>1.1097</v>
      </c>
      <c r="N56" s="55" t="n">
        <f aca="false">(F56-L56)/E56*1000000</f>
        <v>590.000000000002</v>
      </c>
      <c r="O56" s="53" t="n">
        <f aca="false">(G56-M56)/E56*1000000</f>
        <v>570.000000000004</v>
      </c>
      <c r="P56" s="106" t="n">
        <f aca="false">AVERAGE(N56:O56)</f>
        <v>580.000000000003</v>
      </c>
      <c r="Q56" s="3"/>
      <c r="R56" s="3"/>
      <c r="S56" s="3"/>
      <c r="T56" s="3"/>
      <c r="U56" s="27"/>
      <c r="V56" s="114" t="s">
        <v>18</v>
      </c>
      <c r="W56" s="112" t="s">
        <v>19</v>
      </c>
      <c r="X56" s="125" t="n">
        <f aca="false">H10</f>
        <v>3.79994071892601</v>
      </c>
      <c r="Y56" s="126"/>
      <c r="Z56" s="127"/>
      <c r="AA56" s="28"/>
      <c r="AB56" s="94"/>
      <c r="AC56" s="28"/>
      <c r="AD56" s="28"/>
      <c r="AE56" s="28"/>
      <c r="AF56" s="28"/>
      <c r="AG56" s="28"/>
      <c r="AH56" s="28"/>
      <c r="AI56" s="28"/>
      <c r="AJ56" s="28"/>
      <c r="AK56" s="29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customFormat="false" ht="34.5" hidden="false" customHeight="true" outlineLevel="0" collapsed="false">
      <c r="A57" s="3" t="s">
        <v>105</v>
      </c>
      <c r="B57" s="3"/>
      <c r="C57" s="128"/>
      <c r="D57" s="12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7"/>
      <c r="V57" s="114" t="s">
        <v>22</v>
      </c>
      <c r="W57" s="112" t="s">
        <v>106</v>
      </c>
      <c r="X57" s="129" t="n">
        <f aca="false">H11</f>
        <v>0.177</v>
      </c>
      <c r="Y57" s="129" t="n">
        <f aca="false">I11</f>
        <v>0.177</v>
      </c>
      <c r="Z57" s="130" t="n">
        <f aca="false">J11</f>
        <v>0.177</v>
      </c>
      <c r="AA57" s="28"/>
      <c r="AB57" s="94"/>
      <c r="AC57" s="28"/>
      <c r="AD57" s="28"/>
      <c r="AE57" s="28"/>
      <c r="AF57" s="28"/>
      <c r="AG57" s="28"/>
      <c r="AH57" s="28"/>
      <c r="AI57" s="28"/>
      <c r="AJ57" s="28"/>
      <c r="AK57" s="29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7"/>
      <c r="V58" s="114" t="s">
        <v>26</v>
      </c>
      <c r="W58" s="112" t="s">
        <v>27</v>
      </c>
      <c r="X58" s="131" t="n">
        <f aca="false">H12</f>
        <v>25.9530791788856</v>
      </c>
      <c r="Y58" s="131" t="n">
        <f aca="false">I12</f>
        <v>32.7416335155434</v>
      </c>
      <c r="Z58" s="131" t="n">
        <f aca="false">J12</f>
        <v>23.6204711086333</v>
      </c>
      <c r="AA58" s="28"/>
      <c r="AB58" s="94"/>
      <c r="AC58" s="28"/>
      <c r="AD58" s="28"/>
      <c r="AE58" s="28"/>
      <c r="AF58" s="28"/>
      <c r="AG58" s="28"/>
      <c r="AH58" s="28"/>
      <c r="AI58" s="28"/>
      <c r="AJ58" s="28"/>
      <c r="AK58" s="29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customFormat="false" ht="15.75" hidden="false" customHeight="false" outlineLevel="0" collapsed="false">
      <c r="A59" s="132" t="s">
        <v>107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3"/>
      <c r="Q59" s="3"/>
      <c r="R59" s="3"/>
      <c r="S59" s="3"/>
      <c r="T59" s="3"/>
      <c r="U59" s="27"/>
      <c r="V59" s="114" t="s">
        <v>30</v>
      </c>
      <c r="W59" s="112" t="s">
        <v>19</v>
      </c>
      <c r="X59" s="126" t="n">
        <f aca="false">H13</f>
        <v>28.9718828704658</v>
      </c>
      <c r="Y59" s="133" t="n">
        <f aca="false">I13</f>
        <v>29.7349256890145</v>
      </c>
      <c r="Z59" s="134" t="n">
        <f aca="false">J13</f>
        <v>32.8894270834206</v>
      </c>
      <c r="AA59" s="28"/>
      <c r="AB59" s="94"/>
      <c r="AC59" s="28"/>
      <c r="AD59" s="28"/>
      <c r="AE59" s="28"/>
      <c r="AF59" s="28"/>
      <c r="AG59" s="28"/>
      <c r="AH59" s="28"/>
      <c r="AI59" s="28"/>
      <c r="AJ59" s="28"/>
      <c r="AK59" s="29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customFormat="false" ht="17.9" hidden="false" customHeight="false" outlineLevel="0" collapsed="false">
      <c r="A60" s="59" t="s">
        <v>84</v>
      </c>
      <c r="B60" s="60" t="s">
        <v>108</v>
      </c>
      <c r="C60" s="60" t="s">
        <v>109</v>
      </c>
      <c r="D60" s="60" t="s">
        <v>110</v>
      </c>
      <c r="E60" s="60" t="s">
        <v>111</v>
      </c>
      <c r="F60" s="60" t="s">
        <v>89</v>
      </c>
      <c r="G60" s="60" t="s">
        <v>90</v>
      </c>
      <c r="H60" s="60" t="s">
        <v>112</v>
      </c>
      <c r="I60" s="60" t="s">
        <v>113</v>
      </c>
      <c r="J60" s="60" t="s">
        <v>114</v>
      </c>
      <c r="K60" s="60" t="s">
        <v>95</v>
      </c>
      <c r="L60" s="60" t="s">
        <v>96</v>
      </c>
      <c r="M60" s="60" t="s">
        <v>115</v>
      </c>
      <c r="N60" s="60" t="s">
        <v>116</v>
      </c>
      <c r="O60" s="98" t="s">
        <v>117</v>
      </c>
      <c r="P60" s="3"/>
      <c r="Q60" s="3"/>
      <c r="R60" s="3"/>
      <c r="S60" s="3"/>
      <c r="T60" s="3"/>
      <c r="U60" s="27"/>
      <c r="V60" s="135" t="s">
        <v>33</v>
      </c>
      <c r="W60" s="136" t="s">
        <v>34</v>
      </c>
      <c r="X60" s="137" t="n">
        <f aca="false">H14</f>
        <v>580.000000000003</v>
      </c>
      <c r="Y60" s="137" t="n">
        <f aca="false">I14</f>
        <v>334.999999999996</v>
      </c>
      <c r="Z60" s="138" t="n">
        <f aca="false">J14</f>
        <v>834.999999999997</v>
      </c>
      <c r="AA60" s="28"/>
      <c r="AB60" s="94"/>
      <c r="AC60" s="28"/>
      <c r="AD60" s="28"/>
      <c r="AE60" s="28"/>
      <c r="AF60" s="28"/>
      <c r="AG60" s="28"/>
      <c r="AH60" s="28"/>
      <c r="AI60" s="28"/>
      <c r="AJ60" s="28"/>
      <c r="AK60" s="29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customFormat="false" ht="15.75" hidden="false" customHeight="false" outlineLevel="0" collapsed="false">
      <c r="A61" s="100" t="n">
        <v>1</v>
      </c>
      <c r="B61" s="139" t="n">
        <v>1.0061</v>
      </c>
      <c r="C61" s="139" t="n">
        <v>1.0124</v>
      </c>
      <c r="D61" s="139" t="n">
        <v>5.2952</v>
      </c>
      <c r="E61" s="139" t="n">
        <v>5.3098</v>
      </c>
      <c r="F61" s="140" t="n">
        <v>2.2718</v>
      </c>
      <c r="G61" s="141" t="n">
        <v>2.3265</v>
      </c>
      <c r="H61" s="72" t="n">
        <f aca="false">(F61-B61)*100/(D61-B61)</f>
        <v>29.5096873469959</v>
      </c>
      <c r="I61" s="72" t="n">
        <f aca="false">(G61-C61)*100/(E61-C61)</f>
        <v>30.5789547168055</v>
      </c>
      <c r="J61" s="72" t="n">
        <f aca="false">AVERAGE(H61:I61)</f>
        <v>30.0443210319007</v>
      </c>
      <c r="K61" s="88" t="n">
        <v>1.4507</v>
      </c>
      <c r="L61" s="88" t="n">
        <v>1.4722</v>
      </c>
      <c r="M61" s="72" t="n">
        <f aca="false">((F61-K61)/D61)*100</f>
        <v>15.5064964496147</v>
      </c>
      <c r="N61" s="72" t="n">
        <f aca="false">((G61-L61)/E61)*100</f>
        <v>16.0891182342084</v>
      </c>
      <c r="O61" s="142" t="n">
        <f aca="false">AVERAGE(M61:N61)</f>
        <v>15.7978073419116</v>
      </c>
      <c r="P61" s="3"/>
      <c r="Q61" s="3"/>
      <c r="R61" s="3"/>
      <c r="S61" s="3"/>
      <c r="T61" s="3"/>
      <c r="U61" s="143"/>
      <c r="V61" s="144"/>
      <c r="W61" s="144"/>
      <c r="X61" s="144"/>
      <c r="Y61" s="144"/>
      <c r="Z61" s="144"/>
      <c r="AA61" s="144"/>
      <c r="AB61" s="145"/>
      <c r="AC61" s="144"/>
      <c r="AD61" s="144"/>
      <c r="AE61" s="144"/>
      <c r="AF61" s="144"/>
      <c r="AG61" s="146"/>
      <c r="AH61" s="144"/>
      <c r="AI61" s="144"/>
      <c r="AJ61" s="144"/>
      <c r="AK61" s="147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customFormat="false" ht="15.75" hidden="false" customHeight="false" outlineLevel="0" collapsed="false">
      <c r="A62" s="100" t="n">
        <v>2</v>
      </c>
      <c r="B62" s="141" t="n">
        <v>1.0114</v>
      </c>
      <c r="C62" s="141" t="n">
        <v>1.0056</v>
      </c>
      <c r="D62" s="141" t="n">
        <v>5.2581</v>
      </c>
      <c r="E62" s="141" t="n">
        <v>5.1396</v>
      </c>
      <c r="F62" s="140" t="n">
        <v>2.417</v>
      </c>
      <c r="G62" s="141" t="n">
        <v>2.3566</v>
      </c>
      <c r="H62" s="72" t="n">
        <f aca="false">(F62-B62)*100/(D62-B62)</f>
        <v>33.098641297949</v>
      </c>
      <c r="I62" s="72" t="n">
        <f aca="false">(G62-C62)*100/(E62-C62)</f>
        <v>32.6802128688921</v>
      </c>
      <c r="J62" s="72" t="n">
        <f aca="false">AVERAGE(H62:I62)</f>
        <v>32.8894270834206</v>
      </c>
      <c r="K62" s="148" t="n">
        <v>1.5103</v>
      </c>
      <c r="L62" s="148" t="n">
        <v>1.4837</v>
      </c>
      <c r="M62" s="72" t="n">
        <f aca="false">((F62-K62)/D62)*100</f>
        <v>17.2438713603773</v>
      </c>
      <c r="N62" s="72" t="n">
        <f aca="false">((G62-L62)/E62)*100</f>
        <v>16.9838119698031</v>
      </c>
      <c r="O62" s="142" t="n">
        <f aca="false">AVERAGE(M62:N62)</f>
        <v>17.1138416650902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customFormat="false" ht="15.75" hidden="false" customHeight="false" outlineLevel="0" collapsed="false">
      <c r="A63" s="100" t="n">
        <v>3</v>
      </c>
      <c r="B63" s="141" t="n">
        <v>0.9888</v>
      </c>
      <c r="C63" s="141" t="n">
        <v>1.0072</v>
      </c>
      <c r="D63" s="141" t="n">
        <v>5.2674</v>
      </c>
      <c r="E63" s="141" t="n">
        <v>5.4188</v>
      </c>
      <c r="F63" s="140" t="n">
        <v>2.3317</v>
      </c>
      <c r="G63" s="141" t="n">
        <v>2.306</v>
      </c>
      <c r="H63" s="72" t="n">
        <f aca="false">(F63-B63)*100/(D63-B63)</f>
        <v>31.3864348151265</v>
      </c>
      <c r="I63" s="72" t="n">
        <f aca="false">(G63-C63)*100/(E63-C63)</f>
        <v>29.4405657811225</v>
      </c>
      <c r="J63" s="72" t="n">
        <f aca="false">AVERAGE(H63:I63)</f>
        <v>30.4135002981245</v>
      </c>
      <c r="K63" s="148" t="n">
        <v>1.4618</v>
      </c>
      <c r="L63" s="148" t="n">
        <v>1.4598</v>
      </c>
      <c r="M63" s="72" t="n">
        <f aca="false">((F63-K63)/D63)*100</f>
        <v>16.5147890800015</v>
      </c>
      <c r="N63" s="72" t="n">
        <f aca="false">((G63-L63)/E63)*100</f>
        <v>15.6160035432199</v>
      </c>
      <c r="O63" s="142" t="n">
        <f aca="false">AVERAGE(M63:N63)</f>
        <v>16.0653963116107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customFormat="false" ht="24" hidden="false" customHeight="true" outlineLevel="0" collapsed="false">
      <c r="A64" s="100" t="n">
        <v>4</v>
      </c>
      <c r="B64" s="149" t="n">
        <v>1.004</v>
      </c>
      <c r="C64" s="149" t="n">
        <v>0.9975</v>
      </c>
      <c r="D64" s="149" t="n">
        <v>5.0896</v>
      </c>
      <c r="E64" s="149" t="n">
        <v>5.3244</v>
      </c>
      <c r="F64" s="150" t="n">
        <v>2.2401</v>
      </c>
      <c r="G64" s="149" t="n">
        <v>2.3258</v>
      </c>
      <c r="H64" s="72" t="n">
        <f aca="false">(F64-B64)*100/(D64-B64)</f>
        <v>30.2550420990797</v>
      </c>
      <c r="I64" s="72" t="n">
        <f aca="false">(G64-C64)*100/(E64-C64)</f>
        <v>30.6986526150362</v>
      </c>
      <c r="J64" s="72" t="n">
        <f aca="false">AVERAGE(H64:I64)</f>
        <v>30.4768473570579</v>
      </c>
      <c r="K64" s="148" t="n">
        <v>1.4349</v>
      </c>
      <c r="L64" s="148" t="n">
        <v>1.4602</v>
      </c>
      <c r="M64" s="72" t="n">
        <f aca="false">((F64-K64)/D64)*100</f>
        <v>15.8204966991512</v>
      </c>
      <c r="N64" s="72" t="n">
        <f aca="false">((G64-L64)/E64)*100</f>
        <v>16.2572308616933</v>
      </c>
      <c r="O64" s="142" t="n">
        <f aca="false">AVERAGE(M64:N64)</f>
        <v>16.0388637804223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customFormat="false" ht="15.75" hidden="false" customHeight="false" outlineLevel="0" collapsed="false">
      <c r="A65" s="100" t="n">
        <v>5</v>
      </c>
      <c r="B65" s="149" t="n">
        <v>1.0014</v>
      </c>
      <c r="C65" s="149" t="n">
        <v>0.9955</v>
      </c>
      <c r="D65" s="149" t="n">
        <v>5.0068</v>
      </c>
      <c r="E65" s="149" t="n">
        <v>5.5062</v>
      </c>
      <c r="F65" s="150" t="n">
        <v>2.2412</v>
      </c>
      <c r="G65" s="149" t="n">
        <v>2.2818</v>
      </c>
      <c r="H65" s="72" t="n">
        <f aca="false">(F65-B65)*100/(D65-B65)</f>
        <v>30.953213162231</v>
      </c>
      <c r="I65" s="72" t="n">
        <f aca="false">(G65-C65)*100/(E65-C65)</f>
        <v>28.516638215798</v>
      </c>
      <c r="J65" s="72" t="n">
        <f aca="false">AVERAGE(H65:I65)</f>
        <v>29.7349256890145</v>
      </c>
      <c r="K65" s="148" t="n">
        <v>1.4295</v>
      </c>
      <c r="L65" s="148" t="n">
        <v>1.44</v>
      </c>
      <c r="M65" s="72" t="n">
        <f aca="false">((F65-K65)/D65)*100</f>
        <v>16.211951745626</v>
      </c>
      <c r="N65" s="72" t="n">
        <f aca="false">((G65-L65)/E65)*100</f>
        <v>15.2882205513784</v>
      </c>
      <c r="O65" s="142" t="n">
        <f aca="false">AVERAGE(M65:N65)</f>
        <v>15.7500861485022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customFormat="false" ht="15.75" hidden="false" customHeight="false" outlineLevel="0" collapsed="false">
      <c r="A66" s="100" t="n">
        <v>6</v>
      </c>
      <c r="B66" s="149" t="n">
        <v>1.0062</v>
      </c>
      <c r="C66" s="149" t="n">
        <v>0.996</v>
      </c>
      <c r="D66" s="149" t="n">
        <v>5.0685</v>
      </c>
      <c r="E66" s="149" t="n">
        <v>5.1949</v>
      </c>
      <c r="F66" s="150" t="n">
        <v>2.2471</v>
      </c>
      <c r="G66" s="149" t="n">
        <v>2.226</v>
      </c>
      <c r="H66" s="72" t="n">
        <f aca="false">(F66-B66)*100/(D66-B66)</f>
        <v>30.546734608473</v>
      </c>
      <c r="I66" s="72" t="n">
        <f aca="false">(G66-C66)*100/(E66-C66)</f>
        <v>29.2933863630951</v>
      </c>
      <c r="J66" s="72" t="n">
        <f aca="false">AVERAGE(H66:I66)</f>
        <v>29.9200604857841</v>
      </c>
      <c r="K66" s="148" t="n">
        <v>1.4378</v>
      </c>
      <c r="L66" s="148" t="n">
        <v>1.4217</v>
      </c>
      <c r="M66" s="72" t="n">
        <f aca="false">((F66-K66)/D66)*100</f>
        <v>15.9672486929072</v>
      </c>
      <c r="N66" s="72" t="n">
        <f aca="false">((G66-L66)/E66)*100</f>
        <v>15.4824924445129</v>
      </c>
      <c r="O66" s="142" t="n">
        <f aca="false">AVERAGE(M66:N66)</f>
        <v>15.72487056871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customFormat="false" ht="15.75" hidden="false" customHeight="false" outlineLevel="0" collapsed="false">
      <c r="A67" s="151" t="s">
        <v>118</v>
      </c>
      <c r="B67" s="149" t="n">
        <v>1.0041</v>
      </c>
      <c r="C67" s="149" t="n">
        <v>0.9928</v>
      </c>
      <c r="D67" s="149" t="n">
        <v>5.3082</v>
      </c>
      <c r="E67" s="149" t="n">
        <v>5.1555</v>
      </c>
      <c r="F67" s="149" t="n">
        <v>2.297</v>
      </c>
      <c r="G67" s="149" t="n">
        <v>2.1544</v>
      </c>
      <c r="H67" s="72" t="n">
        <f aca="false">(F67-B67)*100/(D67-B67)</f>
        <v>30.0388002137497</v>
      </c>
      <c r="I67" s="72" t="n">
        <f aca="false">(G67-C67)*100/(E67-C67)</f>
        <v>27.9049655271819</v>
      </c>
      <c r="J67" s="72" t="n">
        <f aca="false">AVERAGE(H67:I67)</f>
        <v>28.9718828704658</v>
      </c>
      <c r="K67" s="148" t="n">
        <v>1.443</v>
      </c>
      <c r="L67" s="148" t="n">
        <v>1.3901</v>
      </c>
      <c r="M67" s="72" t="n">
        <f aca="false">((F67-K67)/D67)*100</f>
        <v>16.0883161900456</v>
      </c>
      <c r="N67" s="72" t="n">
        <f aca="false">((G67-L67)/E67)*100</f>
        <v>14.8249442343129</v>
      </c>
      <c r="O67" s="142" t="n">
        <f aca="false">AVERAGE(M67:N67)</f>
        <v>15.4566302121792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customFormat="false" ht="15.75" hidden="false" customHeight="false" outlineLevel="0" collapsed="false">
      <c r="A68" s="121" t="s">
        <v>119</v>
      </c>
      <c r="B68" s="152" t="n">
        <v>1.0059</v>
      </c>
      <c r="C68" s="152" t="n">
        <v>0.9798</v>
      </c>
      <c r="D68" s="152" t="n">
        <v>5.0524</v>
      </c>
      <c r="E68" s="152" t="n">
        <v>5.1096</v>
      </c>
      <c r="F68" s="152" t="n">
        <v>1.1594</v>
      </c>
      <c r="G68" s="152" t="n">
        <v>1.137</v>
      </c>
      <c r="H68" s="72" t="n">
        <f aca="false">(F68-B68)*100/(D68-B68)</f>
        <v>3.79340170517731</v>
      </c>
      <c r="I68" s="72" t="n">
        <f aca="false">(G68-C68)*100/(E68-C68)</f>
        <v>3.80647973267471</v>
      </c>
      <c r="J68" s="72" t="n">
        <f aca="false">AVERAGE(H68:I68)</f>
        <v>3.79994071892601</v>
      </c>
      <c r="K68" s="153" t="n">
        <v>1.0616</v>
      </c>
      <c r="L68" s="153" t="n">
        <v>1.0413</v>
      </c>
      <c r="M68" s="154" t="n">
        <f aca="false">((F68-K68)/D68)*100</f>
        <v>1.93571372021217</v>
      </c>
      <c r="N68" s="154" t="n">
        <f aca="false">((G68-L68)/E68)*100</f>
        <v>1.87294504462189</v>
      </c>
      <c r="O68" s="155" t="n">
        <f aca="false">AVERAGE(M68:N68)</f>
        <v>1.90432938241703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70" s="175" customFormat="true" ht="99" hidden="false" customHeight="true" outlineLevel="0" collapsed="false">
      <c r="A70" s="156" t="s">
        <v>64</v>
      </c>
      <c r="B70" s="157" t="s">
        <v>120</v>
      </c>
      <c r="C70" s="157" t="s">
        <v>121</v>
      </c>
      <c r="D70" s="158" t="s">
        <v>122</v>
      </c>
      <c r="E70" s="159" t="s">
        <v>123</v>
      </c>
      <c r="F70" s="160" t="s">
        <v>124</v>
      </c>
      <c r="G70" s="161" t="s">
        <v>125</v>
      </c>
      <c r="H70" s="158" t="s">
        <v>126</v>
      </c>
      <c r="I70" s="162" t="s">
        <v>127</v>
      </c>
      <c r="J70" s="163" t="s">
        <v>128</v>
      </c>
      <c r="K70" s="163" t="s">
        <v>129</v>
      </c>
      <c r="L70" s="163" t="s">
        <v>130</v>
      </c>
      <c r="M70" s="164" t="s">
        <v>128</v>
      </c>
      <c r="N70" s="164" t="s">
        <v>129</v>
      </c>
      <c r="O70" s="164" t="s">
        <v>130</v>
      </c>
      <c r="P70" s="164" t="s">
        <v>131</v>
      </c>
      <c r="Q70" s="165" t="s">
        <v>132</v>
      </c>
      <c r="R70" s="166" t="s">
        <v>124</v>
      </c>
      <c r="S70" s="167" t="s">
        <v>125</v>
      </c>
      <c r="T70" s="168" t="s">
        <v>126</v>
      </c>
      <c r="U70" s="167" t="s">
        <v>127</v>
      </c>
      <c r="V70" s="168" t="s">
        <v>128</v>
      </c>
      <c r="W70" s="168" t="s">
        <v>129</v>
      </c>
      <c r="X70" s="168" t="s">
        <v>130</v>
      </c>
      <c r="Y70" s="169" t="s">
        <v>128</v>
      </c>
      <c r="Z70" s="169" t="s">
        <v>129</v>
      </c>
      <c r="AA70" s="169" t="s">
        <v>130</v>
      </c>
      <c r="AB70" s="171" t="s">
        <v>133</v>
      </c>
      <c r="AC70" s="160" t="s">
        <v>124</v>
      </c>
      <c r="AD70" s="161" t="s">
        <v>125</v>
      </c>
      <c r="AE70" s="158" t="s">
        <v>126</v>
      </c>
      <c r="AF70" s="161" t="s">
        <v>127</v>
      </c>
      <c r="AG70" s="158" t="s">
        <v>134</v>
      </c>
      <c r="AH70" s="158" t="s">
        <v>135</v>
      </c>
      <c r="AI70" s="158" t="s">
        <v>136</v>
      </c>
      <c r="AJ70" s="158" t="s">
        <v>137</v>
      </c>
      <c r="AK70" s="158" t="s">
        <v>138</v>
      </c>
      <c r="AL70" s="158" t="s">
        <v>139</v>
      </c>
      <c r="AM70" s="158" t="s">
        <v>140</v>
      </c>
      <c r="AN70" s="172" t="s">
        <v>134</v>
      </c>
      <c r="AO70" s="172" t="s">
        <v>135</v>
      </c>
      <c r="AP70" s="173" t="s">
        <v>136</v>
      </c>
      <c r="AQ70" s="172" t="s">
        <v>141</v>
      </c>
      <c r="AR70" s="174" t="s">
        <v>142</v>
      </c>
      <c r="AS70" s="160" t="s">
        <v>143</v>
      </c>
      <c r="AT70" s="158" t="s">
        <v>144</v>
      </c>
      <c r="AU70" s="158" t="s">
        <v>145</v>
      </c>
      <c r="AV70" s="158" t="s">
        <v>146</v>
      </c>
      <c r="AW70" s="174"/>
    </row>
    <row r="71" s="185" customFormat="true" ht="17.9" hidden="false" customHeight="false" outlineLevel="0" collapsed="false">
      <c r="A71" s="176" t="n">
        <f aca="false">I33</f>
        <v>20.0077229128743</v>
      </c>
      <c r="B71" s="162" t="n">
        <f aca="false">C41</f>
        <v>39.5333333333333</v>
      </c>
      <c r="C71" s="162" t="n">
        <f aca="false">B41</f>
        <v>73.2333333333333</v>
      </c>
      <c r="D71" s="162" t="n">
        <f aca="false">J61</f>
        <v>30.0443210319007</v>
      </c>
      <c r="E71" s="177" t="n">
        <f aca="false">K50*1000</f>
        <v>1040.00000000001</v>
      </c>
      <c r="F71" s="176" t="n">
        <f aca="false">AVERAGE(B71)</f>
        <v>39.5333333333333</v>
      </c>
      <c r="G71" s="162" t="n">
        <f aca="false">F71-B71</f>
        <v>0</v>
      </c>
      <c r="H71" s="162" t="n">
        <v>20</v>
      </c>
      <c r="I71" s="162" t="n">
        <f aca="false">IF(AND(G71&gt;H71,G72&gt;H72),1,2)</f>
        <v>2</v>
      </c>
      <c r="J71" s="178" t="n">
        <f aca="false">INDEX(A71:A76,MATCH(1,I71:I76,0))</f>
        <v>34.901150296084</v>
      </c>
      <c r="K71" s="178" t="n">
        <f aca="false">INDEX(D71:D76,MATCH(1,I71:I76,0))</f>
        <v>29.9200604857841</v>
      </c>
      <c r="L71" s="178" t="n">
        <f aca="false">INDEX(E71:E76,MATCH(1,I71:I76,0))</f>
        <v>385.000000000002</v>
      </c>
      <c r="M71" s="178" t="n">
        <f aca="false">J71</f>
        <v>34.901150296084</v>
      </c>
      <c r="N71" s="178" t="n">
        <f aca="false">K71</f>
        <v>29.9200604857841</v>
      </c>
      <c r="O71" s="178" t="n">
        <f aca="false">L71</f>
        <v>385.000000000002</v>
      </c>
      <c r="P71" s="178"/>
      <c r="Q71" s="179"/>
      <c r="R71" s="180" t="n">
        <f aca="false">AVERAGE(C71)</f>
        <v>73.2333333333333</v>
      </c>
      <c r="S71" s="181" t="n">
        <f aca="false">R71-C71</f>
        <v>0</v>
      </c>
      <c r="T71" s="181" t="n">
        <v>20</v>
      </c>
      <c r="U71" s="181" t="n">
        <f aca="false">IF(AND(S71&gt;T71,S72&gt;T72),1,2)</f>
        <v>2</v>
      </c>
      <c r="V71" s="181" t="n">
        <f aca="false">INDEX(A71:A75,MATCH(1,U71:U76,0))</f>
        <v>32.7416335155434</v>
      </c>
      <c r="W71" s="181" t="n">
        <f aca="false">INDEX(D71:D76,MATCH(1,U71:U76,0))</f>
        <v>29.7349256890145</v>
      </c>
      <c r="X71" s="181" t="n">
        <f aca="false">INDEX(E71:E75,MATCH(1,U71:U75,0))</f>
        <v>334.999999999996</v>
      </c>
      <c r="Y71" s="181" t="n">
        <f aca="false">V71</f>
        <v>32.7416335155434</v>
      </c>
      <c r="Z71" s="181" t="n">
        <f aca="false">W71</f>
        <v>29.7349256890145</v>
      </c>
      <c r="AA71" s="181" t="n">
        <f aca="false">X71</f>
        <v>334.999999999996</v>
      </c>
      <c r="AB71" s="183"/>
      <c r="AC71" s="176" t="n">
        <f aca="false">AVERAGE(D71)</f>
        <v>30.0443210319007</v>
      </c>
      <c r="AD71" s="162" t="n">
        <f aca="false">AC71-D71</f>
        <v>0</v>
      </c>
      <c r="AE71" s="162" t="n">
        <v>20</v>
      </c>
      <c r="AF71" s="162" t="n">
        <f aca="false">IF(AND(AD71&gt;AE71,AD72&gt;AE72),1,2)</f>
        <v>2</v>
      </c>
      <c r="AG71" s="162" t="n">
        <f aca="false">A72</f>
        <v>23.6204711086333</v>
      </c>
      <c r="AH71" s="162" t="e">
        <f aca="false">INDEX(D71:D75,MATCH(1,AF71:AF76,0))</f>
        <v>#N/A</v>
      </c>
      <c r="AI71" s="162" t="e">
        <f aca="false">INDEX(E71:E75,MATCH(1,AF71:AF75,0))</f>
        <v>#N/A</v>
      </c>
      <c r="AJ71" s="162" t="n">
        <v>812</v>
      </c>
      <c r="AK71" s="184" t="e">
        <f aca="false">IF(AND(ISNUMBER(AG71), AG71&lt;AJ71), AI71,"")</f>
        <v>#N/A</v>
      </c>
      <c r="AL71" s="162"/>
      <c r="AM71" s="162" t="e">
        <f aca="false">IF((AJ71&gt;AK71),1,2)</f>
        <v>#N/A</v>
      </c>
      <c r="AN71" s="162" t="n">
        <f aca="false">A72</f>
        <v>23.6204711086333</v>
      </c>
      <c r="AO71" s="162" t="n">
        <f aca="false">D72</f>
        <v>32.8894270834206</v>
      </c>
      <c r="AP71" s="162" t="n">
        <f aca="false">E72</f>
        <v>834.999999999997</v>
      </c>
      <c r="AQ71" s="162" t="s">
        <v>147</v>
      </c>
      <c r="AR71" s="177"/>
      <c r="AS71" s="176" t="n">
        <f aca="false">D15</f>
        <v>25.9530791788856</v>
      </c>
      <c r="AT71" s="162" t="n">
        <f aca="false">J67</f>
        <v>28.9718828704658</v>
      </c>
      <c r="AU71" s="162" t="n">
        <f aca="false">P56</f>
        <v>580.000000000003</v>
      </c>
      <c r="AV71" s="162" t="n">
        <f aca="false">J68</f>
        <v>3.79994071892601</v>
      </c>
      <c r="AW71" s="177"/>
    </row>
    <row r="72" s="185" customFormat="true" ht="15.75" hidden="false" customHeight="false" outlineLevel="0" collapsed="false">
      <c r="A72" s="176" t="n">
        <f aca="false">I34</f>
        <v>23.6204711086333</v>
      </c>
      <c r="B72" s="162" t="n">
        <f aca="false">C42</f>
        <v>37.4</v>
      </c>
      <c r="C72" s="162" t="n">
        <f aca="false">B42</f>
        <v>48</v>
      </c>
      <c r="D72" s="162" t="n">
        <f aca="false">J62</f>
        <v>32.8894270834206</v>
      </c>
      <c r="E72" s="177" t="n">
        <f aca="false">K51*1000</f>
        <v>834.999999999997</v>
      </c>
      <c r="F72" s="176" t="n">
        <f aca="false">AVERAGE(B71:B72)</f>
        <v>38.4666666666667</v>
      </c>
      <c r="G72" s="162" t="n">
        <f aca="false">(F71-B72)*100/F71</f>
        <v>5.3962900505902</v>
      </c>
      <c r="H72" s="162" t="n">
        <v>20</v>
      </c>
      <c r="I72" s="162" t="n">
        <f aca="false">IF(AND(G71&gt;H71,G72&gt;H72,G73&lt;H73),1,2)</f>
        <v>2</v>
      </c>
      <c r="J72" s="178"/>
      <c r="K72" s="178"/>
      <c r="L72" s="178"/>
      <c r="M72" s="186"/>
      <c r="N72" s="178"/>
      <c r="O72" s="178"/>
      <c r="P72" s="178"/>
      <c r="Q72" s="179"/>
      <c r="R72" s="180" t="n">
        <f aca="false">AVERAGE(C71:C72)</f>
        <v>60.6166666666667</v>
      </c>
      <c r="S72" s="181" t="n">
        <f aca="false">(R71-C72)*100/R71</f>
        <v>34.4560764679108</v>
      </c>
      <c r="T72" s="181" t="n">
        <v>20</v>
      </c>
      <c r="U72" s="181" t="n">
        <f aca="false">IF(AND(S71&gt;T71,S72&gt;T72,S73&lt;T73),1,2)</f>
        <v>2</v>
      </c>
      <c r="V72" s="181"/>
      <c r="W72" s="181"/>
      <c r="X72" s="181"/>
      <c r="Y72" s="181"/>
      <c r="Z72" s="181"/>
      <c r="AA72" s="181"/>
      <c r="AB72" s="183"/>
      <c r="AC72" s="176" t="n">
        <f aca="false">AVERAGE(D71:D72)</f>
        <v>31.4668740576606</v>
      </c>
      <c r="AD72" s="162" t="n">
        <f aca="false">(AC71-D72)*100/AC71</f>
        <v>-9.46969661420863</v>
      </c>
      <c r="AE72" s="162" t="n">
        <v>20</v>
      </c>
      <c r="AF72" s="162" t="n">
        <f aca="false">IF(AND(AD71&gt;AE71,AD72&gt;AE72,AD73&lt;AE73),1,2)</f>
        <v>2</v>
      </c>
      <c r="AG72" s="162"/>
      <c r="AH72" s="162"/>
      <c r="AI72" s="162"/>
      <c r="AJ72" s="162"/>
      <c r="AK72" s="162"/>
      <c r="AL72" s="162"/>
      <c r="AM72" s="162"/>
      <c r="AN72" s="162"/>
      <c r="AO72" s="162"/>
      <c r="AP72" s="162"/>
      <c r="AQ72" s="162"/>
      <c r="AR72" s="177"/>
      <c r="AS72" s="176"/>
      <c r="AT72" s="162"/>
      <c r="AU72" s="162"/>
      <c r="AV72" s="162"/>
      <c r="AW72" s="177"/>
    </row>
    <row r="73" s="185" customFormat="true" ht="15.75" hidden="false" customHeight="false" outlineLevel="0" collapsed="false">
      <c r="A73" s="176" t="n">
        <f aca="false">I35</f>
        <v>27.2586182485171</v>
      </c>
      <c r="B73" s="162" t="n">
        <f aca="false">C43</f>
        <v>31.05</v>
      </c>
      <c r="C73" s="162" t="n">
        <f aca="false">B43</f>
        <v>46.8333333333333</v>
      </c>
      <c r="D73" s="162" t="n">
        <f aca="false">J63</f>
        <v>30.4135002981245</v>
      </c>
      <c r="E73" s="177" t="n">
        <f aca="false">K52*1000</f>
        <v>759.999999999994</v>
      </c>
      <c r="F73" s="176" t="n">
        <f aca="false">AVERAGE(B72:B73)</f>
        <v>34.225</v>
      </c>
      <c r="G73" s="162" t="n">
        <f aca="false">(F72-B73)*100/F72</f>
        <v>19.2807625649914</v>
      </c>
      <c r="H73" s="162" t="n">
        <v>20</v>
      </c>
      <c r="I73" s="162" t="n">
        <f aca="false">IF(AND(G72&gt;H72,G73&gt;H73,G74&lt;H74),1,2)</f>
        <v>2</v>
      </c>
      <c r="J73" s="178"/>
      <c r="K73" s="178"/>
      <c r="L73" s="178"/>
      <c r="M73" s="178"/>
      <c r="N73" s="178"/>
      <c r="O73" s="178"/>
      <c r="P73" s="178"/>
      <c r="Q73" s="179"/>
      <c r="R73" s="180" t="n">
        <f aca="false">AVERAGE(C72:C73)</f>
        <v>47.4166666666667</v>
      </c>
      <c r="S73" s="181" t="n">
        <f aca="false">(R72-C73)*100/R72</f>
        <v>22.7385207588672</v>
      </c>
      <c r="T73" s="181" t="n">
        <v>20</v>
      </c>
      <c r="U73" s="181" t="n">
        <f aca="false">IF(AND(S72&gt;T72,S73&gt;T73,S74&lt;T74),1,2)</f>
        <v>2</v>
      </c>
      <c r="V73" s="181"/>
      <c r="W73" s="181"/>
      <c r="X73" s="181"/>
      <c r="Y73" s="181"/>
      <c r="Z73" s="181"/>
      <c r="AA73" s="181"/>
      <c r="AB73" s="183"/>
      <c r="AC73" s="176" t="n">
        <f aca="false">AVERAGE(D72:D73)</f>
        <v>31.6514636907725</v>
      </c>
      <c r="AD73" s="162" t="n">
        <f aca="false">(AC72-D73)*100/AC72</f>
        <v>3.34756403704392</v>
      </c>
      <c r="AE73" s="162" t="n">
        <v>20</v>
      </c>
      <c r="AF73" s="162" t="n">
        <f aca="false">IF(AND(AD72&gt;AE72,AD73&gt;AE73,AD74&lt;AE74),1,2)</f>
        <v>2</v>
      </c>
      <c r="AG73" s="162"/>
      <c r="AH73" s="162"/>
      <c r="AI73" s="162"/>
      <c r="AJ73" s="162"/>
      <c r="AK73" s="162"/>
      <c r="AL73" s="162"/>
      <c r="AM73" s="162"/>
      <c r="AN73" s="162"/>
      <c r="AO73" s="162"/>
      <c r="AP73" s="162"/>
      <c r="AQ73" s="162"/>
      <c r="AR73" s="177"/>
      <c r="AS73" s="176"/>
      <c r="AT73" s="162"/>
      <c r="AU73" s="162"/>
      <c r="AV73" s="162"/>
      <c r="AW73" s="177"/>
    </row>
    <row r="74" s="185" customFormat="true" ht="15.75" hidden="false" customHeight="false" outlineLevel="0" collapsed="false">
      <c r="A74" s="176" t="n">
        <f aca="false">I36</f>
        <v>29.3805141900701</v>
      </c>
      <c r="B74" s="162" t="n">
        <f aca="false">C44</f>
        <v>28.4</v>
      </c>
      <c r="C74" s="162" t="n">
        <f aca="false">B44</f>
        <v>37.7333333333333</v>
      </c>
      <c r="D74" s="162" t="n">
        <f aca="false">J64</f>
        <v>30.4768473570579</v>
      </c>
      <c r="E74" s="177" t="n">
        <f aca="false">K53*1000</f>
        <v>395.000000000001</v>
      </c>
      <c r="F74" s="176" t="n">
        <f aca="false">AVERAGE(B73:B74)</f>
        <v>29.725</v>
      </c>
      <c r="G74" s="162" t="n">
        <f aca="false">(F73-B74)*100/F73</f>
        <v>17.0197224251278</v>
      </c>
      <c r="H74" s="162" t="n">
        <v>20</v>
      </c>
      <c r="I74" s="162" t="n">
        <f aca="false">IF(AND(G73&gt;H73,G74&gt;H74,G75&lt;H75),1,2)</f>
        <v>2</v>
      </c>
      <c r="J74" s="178"/>
      <c r="K74" s="178"/>
      <c r="L74" s="178"/>
      <c r="M74" s="178"/>
      <c r="N74" s="178"/>
      <c r="O74" s="178"/>
      <c r="P74" s="178"/>
      <c r="Q74" s="179"/>
      <c r="R74" s="180" t="n">
        <f aca="false">AVERAGE(C73:C74)</f>
        <v>42.2833333333333</v>
      </c>
      <c r="S74" s="181" t="n">
        <f aca="false">(R73-C74)*100/R73</f>
        <v>20.4217926186292</v>
      </c>
      <c r="T74" s="181" t="n">
        <v>20</v>
      </c>
      <c r="U74" s="181" t="n">
        <f aca="false">IF(AND(S73&gt;T73,S74&gt;T74,S75&lt;T75),1,2)</f>
        <v>2</v>
      </c>
      <c r="V74" s="181"/>
      <c r="W74" s="181"/>
      <c r="X74" s="181"/>
      <c r="Y74" s="181"/>
      <c r="Z74" s="181"/>
      <c r="AA74" s="181"/>
      <c r="AB74" s="183"/>
      <c r="AC74" s="176" t="n">
        <f aca="false">AVERAGE(D73:D74)</f>
        <v>30.4451738275912</v>
      </c>
      <c r="AD74" s="162" t="n">
        <f aca="false">(AC73-D74)*100/AC73</f>
        <v>3.71109641307685</v>
      </c>
      <c r="AE74" s="162" t="n">
        <v>20</v>
      </c>
      <c r="AF74" s="162" t="n">
        <f aca="false">IF(AND(AD73&gt;AE73,AD74&gt;AE74,AD75&lt;AE75),1,2)</f>
        <v>2</v>
      </c>
      <c r="AG74" s="162"/>
      <c r="AH74" s="162"/>
      <c r="AI74" s="162"/>
      <c r="AJ74" s="162"/>
      <c r="AK74" s="162"/>
      <c r="AL74" s="162"/>
      <c r="AM74" s="162"/>
      <c r="AN74" s="162"/>
      <c r="AO74" s="162"/>
      <c r="AP74" s="162"/>
      <c r="AQ74" s="162"/>
      <c r="AR74" s="177"/>
      <c r="AS74" s="176"/>
      <c r="AT74" s="162"/>
      <c r="AU74" s="162"/>
      <c r="AV74" s="162"/>
      <c r="AW74" s="177"/>
    </row>
    <row r="75" s="185" customFormat="true" ht="15.75" hidden="false" customHeight="false" outlineLevel="0" collapsed="false">
      <c r="A75" s="176" t="n">
        <f aca="false">I37</f>
        <v>32.7416335155434</v>
      </c>
      <c r="B75" s="162" t="n">
        <f aca="false">C45</f>
        <v>15.8</v>
      </c>
      <c r="C75" s="162" t="n">
        <f aca="false">B45</f>
        <v>28.2333333333333</v>
      </c>
      <c r="D75" s="162" t="n">
        <f aca="false">J65</f>
        <v>29.7349256890145</v>
      </c>
      <c r="E75" s="177" t="n">
        <f aca="false">K54*1000</f>
        <v>334.999999999996</v>
      </c>
      <c r="F75" s="176" t="n">
        <f aca="false">AVERAGE(B74:B75)</f>
        <v>22.1</v>
      </c>
      <c r="G75" s="162" t="n">
        <f aca="false">(F74-B75)*100/F74</f>
        <v>46.8460891505467</v>
      </c>
      <c r="H75" s="162" t="n">
        <v>20</v>
      </c>
      <c r="I75" s="162" t="n">
        <f aca="false">IF(AND(G74&gt;H74,G75&gt;H75,G76&lt;H76),1,2)</f>
        <v>2</v>
      </c>
      <c r="J75" s="178"/>
      <c r="K75" s="178"/>
      <c r="L75" s="178"/>
      <c r="M75" s="178"/>
      <c r="N75" s="178"/>
      <c r="O75" s="178"/>
      <c r="P75" s="178"/>
      <c r="Q75" s="179"/>
      <c r="R75" s="180" t="n">
        <f aca="false">AVERAGE(C74:C75)</f>
        <v>32.9833333333333</v>
      </c>
      <c r="S75" s="181" t="n">
        <f aca="false">(R74-C75)*100/R74</f>
        <v>33.2282223098147</v>
      </c>
      <c r="T75" s="181" t="n">
        <v>20</v>
      </c>
      <c r="U75" s="181" t="n">
        <f aca="false">IF(AND(S74&gt;T74,S75&gt;T75,S76&lt;T76),1,2)</f>
        <v>1</v>
      </c>
      <c r="V75" s="181"/>
      <c r="W75" s="181"/>
      <c r="X75" s="181"/>
      <c r="Y75" s="181"/>
      <c r="Z75" s="181"/>
      <c r="AA75" s="181"/>
      <c r="AB75" s="183"/>
      <c r="AC75" s="176" t="n">
        <f aca="false">AVERAGE(D74:D75)</f>
        <v>30.1058865230362</v>
      </c>
      <c r="AD75" s="162" t="n">
        <f aca="false">(AC74-D75)*100/AC74</f>
        <v>2.33287595137016</v>
      </c>
      <c r="AE75" s="162" t="n">
        <v>20</v>
      </c>
      <c r="AF75" s="162" t="n">
        <f aca="false">IF(AND(AD74&gt;AE74,AD75&gt;AE75,AD76&lt;AE76),1,2)</f>
        <v>2</v>
      </c>
      <c r="AG75" s="162"/>
      <c r="AH75" s="162"/>
      <c r="AI75" s="162"/>
      <c r="AJ75" s="162"/>
      <c r="AK75" s="162"/>
      <c r="AL75" s="162"/>
      <c r="AM75" s="162"/>
      <c r="AN75" s="162"/>
      <c r="AO75" s="162"/>
      <c r="AP75" s="162"/>
      <c r="AQ75" s="162"/>
      <c r="AR75" s="177"/>
      <c r="AS75" s="176"/>
      <c r="AT75" s="162"/>
      <c r="AU75" s="162"/>
      <c r="AV75" s="162"/>
      <c r="AW75" s="177"/>
    </row>
    <row r="76" s="185" customFormat="true" ht="15.75" hidden="false" customHeight="false" outlineLevel="0" collapsed="false">
      <c r="A76" s="176" t="n">
        <f aca="false">I38</f>
        <v>34.901150296084</v>
      </c>
      <c r="B76" s="162" t="n">
        <f aca="false">C46</f>
        <v>12</v>
      </c>
      <c r="C76" s="162" t="n">
        <f aca="false">B46</f>
        <v>28.6</v>
      </c>
      <c r="D76" s="162" t="n">
        <f aca="false">J66</f>
        <v>29.9200604857841</v>
      </c>
      <c r="E76" s="177" t="n">
        <f aca="false">K55*1000</f>
        <v>385.000000000002</v>
      </c>
      <c r="F76" s="176" t="n">
        <f aca="false">AVERAGE(B75:B76)</f>
        <v>13.9</v>
      </c>
      <c r="G76" s="162" t="n">
        <f aca="false">(F75-B76)*100/F75</f>
        <v>45.7013574660634</v>
      </c>
      <c r="H76" s="162" t="n">
        <v>20</v>
      </c>
      <c r="I76" s="162" t="n">
        <f aca="false">IF(AND(G75&gt;H75,G76&gt;H76),1,2)</f>
        <v>1</v>
      </c>
      <c r="J76" s="178"/>
      <c r="K76" s="178"/>
      <c r="L76" s="178"/>
      <c r="M76" s="178"/>
      <c r="N76" s="178"/>
      <c r="O76" s="178"/>
      <c r="P76" s="178"/>
      <c r="Q76" s="179"/>
      <c r="R76" s="180" t="n">
        <f aca="false">AVERAGE(C75:C76)</f>
        <v>28.4166666666667</v>
      </c>
      <c r="S76" s="181" t="n">
        <f aca="false">(R75-C76)*100/R75</f>
        <v>13.289540171804</v>
      </c>
      <c r="T76" s="181" t="n">
        <v>20</v>
      </c>
      <c r="U76" s="181" t="n">
        <f aca="false">IF(AND(S75&gt;T75,S76&gt;T76),1,2)</f>
        <v>2</v>
      </c>
      <c r="V76" s="181"/>
      <c r="W76" s="181"/>
      <c r="X76" s="181"/>
      <c r="Y76" s="181"/>
      <c r="Z76" s="181"/>
      <c r="AA76" s="181"/>
      <c r="AB76" s="183"/>
      <c r="AC76" s="176" t="n">
        <f aca="false">AVERAGE(D75:D76)</f>
        <v>29.8274930873993</v>
      </c>
      <c r="AD76" s="162" t="n">
        <f aca="false">(AC75-D76)*100/AC75</f>
        <v>0.6172415388265</v>
      </c>
      <c r="AE76" s="162" t="n">
        <v>20</v>
      </c>
      <c r="AF76" s="162" t="n">
        <f aca="false">IF(AND(AD75&gt;AE75,AD76&gt;AE76),1,2)</f>
        <v>2</v>
      </c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77"/>
      <c r="AS76" s="176"/>
      <c r="AT76" s="162"/>
      <c r="AU76" s="162"/>
      <c r="AV76" s="162"/>
      <c r="AW76" s="177"/>
    </row>
  </sheetData>
  <mergeCells count="15">
    <mergeCell ref="U5:AK7"/>
    <mergeCell ref="A7:D7"/>
    <mergeCell ref="A17:C17"/>
    <mergeCell ref="A23:C23"/>
    <mergeCell ref="A26:C26"/>
    <mergeCell ref="A31:R31"/>
    <mergeCell ref="A39:M39"/>
    <mergeCell ref="D40:H40"/>
    <mergeCell ref="I40:M40"/>
    <mergeCell ref="U43:AB44"/>
    <mergeCell ref="AC43:AK44"/>
    <mergeCell ref="X47:Z47"/>
    <mergeCell ref="A48:P48"/>
    <mergeCell ref="V52:Z52"/>
    <mergeCell ref="A59:O59"/>
  </mergeCells>
  <conditionalFormatting sqref="X56">
    <cfRule type="cellIs" priority="2" operator="lessThan" aboveAverage="0" equalAverage="0" bottom="0" percent="0" rank="0" text="" dxfId="8">
      <formula>3</formula>
    </cfRule>
    <cfRule type="cellIs" priority="3" operator="greaterThan" aboveAverage="0" equalAverage="0" bottom="0" percent="0" rank="0" text="" dxfId="9">
      <formula>3.9</formula>
    </cfRule>
    <cfRule type="cellIs" priority="4" operator="between" aboveAverage="0" equalAverage="0" bottom="0" percent="0" rank="0" text="" dxfId="10">
      <formula>3</formula>
      <formula>3.9</formula>
    </cfRule>
    <cfRule type="cellIs" priority="5" operator="between" aboveAverage="0" equalAverage="0" bottom="0" percent="0" rank="0" text="" dxfId="11">
      <formula>3</formula>
      <formula>3.9</formula>
    </cfRule>
    <cfRule type="cellIs" priority="6" operator="between" aboveAverage="0" equalAverage="0" bottom="0" percent="0" rank="0" text="" dxfId="12">
      <formula>3.15</formula>
      <formula>3.85</formula>
    </cfRule>
  </conditionalFormatting>
  <conditionalFormatting sqref="X60:Z60">
    <cfRule type="cellIs" priority="7" operator="greaterThan" aboveAverage="0" equalAverage="0" bottom="0" percent="0" rank="0" text="" dxfId="13">
      <formula>812</formula>
    </cfRule>
  </conditionalFormatting>
  <conditionalFormatting sqref="Y60:Z60">
    <cfRule type="cellIs" priority="8" operator="lessThan" aboveAverage="0" equalAverage="0" bottom="0" percent="0" rank="0" text="" dxfId="14">
      <formula>812</formula>
    </cfRule>
  </conditionalFormatting>
  <conditionalFormatting sqref="X60">
    <cfRule type="cellIs" priority="9" operator="lessThan" aboveAverage="0" equalAverage="0" bottom="0" percent="0" rank="0" text="" dxfId="15">
      <formula>812</formula>
    </cfRule>
  </conditionalFormatting>
  <printOptions headings="false" gridLines="false" gridLinesSet="true" horizontalCentered="true" verticalCentered="false"/>
  <pageMargins left="0.25" right="0.25" top="1.25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15" man="true" max="16383" min="0"/>
    <brk id="18" man="true" max="16383" min="0"/>
    <brk id="22" man="true" max="16383" min="0"/>
    <brk id="31" man="true" max="16383" min="0"/>
  </rowBreaks>
  <colBreaks count="3" manualBreakCount="3">
    <brk id="39" man="true" max="65535" min="0"/>
    <brk id="43" man="true" max="65535" min="0"/>
    <brk id="53" man="true" max="65535" min="0"/>
  </colBreaks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190c8a-4152-4b69-8711-8565850f30dd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C242DEA52DD4CB83602DBBF46ADCE" ma:contentTypeVersion="20" ma:contentTypeDescription="Create a new document." ma:contentTypeScope="" ma:versionID="9ef869dab4ced75e5206cf90c1471a70">
  <xsd:schema xmlns:xsd="http://www.w3.org/2001/XMLSchema" xmlns:xs="http://www.w3.org/2001/XMLSchema" xmlns:p="http://schemas.microsoft.com/office/2006/metadata/properties" xmlns:ns1="http://schemas.microsoft.com/sharepoint/v3" xmlns:ns3="77190c8a-4152-4b69-8711-8565850f30dd" xmlns:ns4="a54fc838-f0df-47c5-8db8-71fdd4e2c04d" targetNamespace="http://schemas.microsoft.com/office/2006/metadata/properties" ma:root="true" ma:fieldsID="9bee645648e94b5754f3489e95d16be6" ns1:_="" ns3:_="" ns4:_="">
    <xsd:import namespace="http://schemas.microsoft.com/sharepoint/v3"/>
    <xsd:import namespace="77190c8a-4152-4b69-8711-8565850f30dd"/>
    <xsd:import namespace="a54fc838-f0df-47c5-8db8-71fdd4e2c0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90c8a-4152-4b69-8711-8565850f3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fc838-f0df-47c5-8db8-71fdd4e2c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3111C4-A9CD-4BF6-916A-89793D0AF247}"/>
</file>

<file path=customXml/itemProps2.xml><?xml version="1.0" encoding="utf-8"?>
<ds:datastoreItem xmlns:ds="http://schemas.openxmlformats.org/officeDocument/2006/customXml" ds:itemID="{4A4EEB1A-C0BA-4A5A-9E2E-3CD049EE011C}"/>
</file>

<file path=customXml/itemProps3.xml><?xml version="1.0" encoding="utf-8"?>
<ds:datastoreItem xmlns:ds="http://schemas.openxmlformats.org/officeDocument/2006/customXml" ds:itemID="{3D638613-F3FF-4274-B418-A5BE992B00D2}"/>
</file>

<file path=docMetadata/LabelInfo.xml><?xml version="1.0" encoding="utf-8"?>
<clbl:labelList xmlns:clbl="http://schemas.microsoft.com/office/2020/mipLabelMetadata">
  <clbl:label id="{8d05cdc4-bf69-4e6a-b5d3-428050a7f00f}" enabled="0" method="" siteId="{8d05cdc4-bf69-4e6a-b5d3-428050a7f0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2024-03-14T18:07:00Z</dcterms:created>
  <dc:creator>Hafiza Khadija Ijaz</dc:creator>
  <dc:description/>
  <dc:language>en-US</dc:language>
  <cp:lastModifiedBy/>
  <dcterms:modified xsi:type="dcterms:W3CDTF">2025-03-11T16:40:24Z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0x010100912C242DEA52DD4CB83602DBBF46ADCE</vt:lpwstr>
  </property>
</Properties>
</file>