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Projects\Dewatering\"/>
    </mc:Choice>
  </mc:AlternateContent>
  <xr:revisionPtr revIDLastSave="0" documentId="13_ncr:1_{18F6853D-D9D5-4D5D-8654-A41EEE1585CC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05_28_2020" sheetId="1" r:id="rId1"/>
    <sheet name="05_21_2020" sheetId="2" r:id="rId2"/>
  </sheets>
  <definedNames>
    <definedName name="_xleta.AVERAGE" hidden="1">#NAME?</definedName>
    <definedName name="_xlnm.Print_Area" localSheetId="1">'05_21_2020'!$U$5:$AK$61</definedName>
    <definedName name="_xlnm.Print_Area" localSheetId="0">'05_28_2020'!$U$5:$AL$61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5" i="2" l="1"/>
  <c r="C73" i="2"/>
  <c r="B73" i="2"/>
  <c r="F74" i="2" s="1"/>
  <c r="G75" i="2" s="1"/>
  <c r="E72" i="2"/>
  <c r="AP71" i="2" s="1"/>
  <c r="J14" i="2" s="1"/>
  <c r="Z60" i="2" s="1"/>
  <c r="N68" i="2"/>
  <c r="M68" i="2"/>
  <c r="O68" i="2" s="1"/>
  <c r="I68" i="2"/>
  <c r="H68" i="2"/>
  <c r="J68" i="2" s="1"/>
  <c r="O67" i="2"/>
  <c r="N67" i="2"/>
  <c r="M67" i="2"/>
  <c r="I67" i="2"/>
  <c r="H67" i="2"/>
  <c r="J67" i="2" s="1"/>
  <c r="N66" i="2"/>
  <c r="M66" i="2"/>
  <c r="O66" i="2" s="1"/>
  <c r="I66" i="2"/>
  <c r="H66" i="2"/>
  <c r="J66" i="2" s="1"/>
  <c r="D76" i="2" s="1"/>
  <c r="O65" i="2"/>
  <c r="N65" i="2"/>
  <c r="M65" i="2"/>
  <c r="I65" i="2"/>
  <c r="H65" i="2"/>
  <c r="J65" i="2" s="1"/>
  <c r="D75" i="2" s="1"/>
  <c r="AC76" i="2" s="1"/>
  <c r="N64" i="2"/>
  <c r="M64" i="2"/>
  <c r="O64" i="2" s="1"/>
  <c r="I64" i="2"/>
  <c r="H64" i="2"/>
  <c r="J64" i="2" s="1"/>
  <c r="D74" i="2" s="1"/>
  <c r="O63" i="2"/>
  <c r="N63" i="2"/>
  <c r="M63" i="2"/>
  <c r="I63" i="2"/>
  <c r="H63" i="2"/>
  <c r="J63" i="2" s="1"/>
  <c r="D73" i="2" s="1"/>
  <c r="AC74" i="2" s="1"/>
  <c r="N62" i="2"/>
  <c r="M62" i="2"/>
  <c r="O62" i="2" s="1"/>
  <c r="I62" i="2"/>
  <c r="H62" i="2"/>
  <c r="J62" i="2" s="1"/>
  <c r="D72" i="2" s="1"/>
  <c r="O61" i="2"/>
  <c r="N61" i="2"/>
  <c r="M61" i="2"/>
  <c r="I61" i="2"/>
  <c r="H61" i="2"/>
  <c r="J61" i="2" s="1"/>
  <c r="D71" i="2" s="1"/>
  <c r="O56" i="2"/>
  <c r="N56" i="2"/>
  <c r="P56" i="2" s="1"/>
  <c r="AU71" i="2" s="1"/>
  <c r="H14" i="2" s="1"/>
  <c r="X60" i="2" s="1"/>
  <c r="J56" i="2"/>
  <c r="I56" i="2"/>
  <c r="K56" i="2" s="1"/>
  <c r="O55" i="2"/>
  <c r="P55" i="2" s="1"/>
  <c r="N55" i="2"/>
  <c r="K55" i="2"/>
  <c r="E76" i="2" s="1"/>
  <c r="J55" i="2"/>
  <c r="I55" i="2"/>
  <c r="O54" i="2"/>
  <c r="N54" i="2"/>
  <c r="P54" i="2" s="1"/>
  <c r="J54" i="2"/>
  <c r="I54" i="2"/>
  <c r="K54" i="2" s="1"/>
  <c r="E75" i="2" s="1"/>
  <c r="O53" i="2"/>
  <c r="P53" i="2" s="1"/>
  <c r="N53" i="2"/>
  <c r="K53" i="2"/>
  <c r="E74" i="2" s="1"/>
  <c r="J53" i="2"/>
  <c r="I53" i="2"/>
  <c r="O52" i="2"/>
  <c r="N52" i="2"/>
  <c r="P52" i="2" s="1"/>
  <c r="J52" i="2"/>
  <c r="I52" i="2"/>
  <c r="K52" i="2" s="1"/>
  <c r="E73" i="2" s="1"/>
  <c r="O51" i="2"/>
  <c r="P51" i="2" s="1"/>
  <c r="N51" i="2"/>
  <c r="K51" i="2"/>
  <c r="J51" i="2"/>
  <c r="I51" i="2"/>
  <c r="O50" i="2"/>
  <c r="N50" i="2"/>
  <c r="P50" i="2" s="1"/>
  <c r="J50" i="2"/>
  <c r="I50" i="2"/>
  <c r="K50" i="2" s="1"/>
  <c r="E71" i="2" s="1"/>
  <c r="C46" i="2"/>
  <c r="B76" i="2" s="1"/>
  <c r="B46" i="2"/>
  <c r="C76" i="2" s="1"/>
  <c r="C45" i="2"/>
  <c r="B45" i="2"/>
  <c r="C75" i="2" s="1"/>
  <c r="R76" i="2" s="1"/>
  <c r="C44" i="2"/>
  <c r="B74" i="2" s="1"/>
  <c r="F75" i="2" s="1"/>
  <c r="B44" i="2"/>
  <c r="C74" i="2" s="1"/>
  <c r="R75" i="2" s="1"/>
  <c r="S76" i="2" s="1"/>
  <c r="C43" i="2"/>
  <c r="B43" i="2"/>
  <c r="C42" i="2"/>
  <c r="B72" i="2" s="1"/>
  <c r="F73" i="2" s="1"/>
  <c r="G74" i="2" s="1"/>
  <c r="B42" i="2"/>
  <c r="C72" i="2" s="1"/>
  <c r="R73" i="2" s="1"/>
  <c r="S74" i="2" s="1"/>
  <c r="C41" i="2"/>
  <c r="B71" i="2" s="1"/>
  <c r="B41" i="2"/>
  <c r="C71" i="2" s="1"/>
  <c r="Q38" i="2"/>
  <c r="P38" i="2"/>
  <c r="O38" i="2"/>
  <c r="H38" i="2"/>
  <c r="I38" i="2" s="1"/>
  <c r="A76" i="2" s="1"/>
  <c r="P37" i="2"/>
  <c r="O37" i="2"/>
  <c r="Q37" i="2" s="1"/>
  <c r="I37" i="2"/>
  <c r="A75" i="2" s="1"/>
  <c r="H37" i="2"/>
  <c r="E37" i="2"/>
  <c r="P36" i="2"/>
  <c r="O36" i="2"/>
  <c r="H36" i="2"/>
  <c r="I36" i="2" s="1"/>
  <c r="A74" i="2" s="1"/>
  <c r="P35" i="2"/>
  <c r="Q35" i="2" s="1"/>
  <c r="O35" i="2"/>
  <c r="I35" i="2"/>
  <c r="A73" i="2" s="1"/>
  <c r="H35" i="2"/>
  <c r="P34" i="2"/>
  <c r="O34" i="2"/>
  <c r="Q34" i="2" s="1"/>
  <c r="H34" i="2"/>
  <c r="I34" i="2" s="1"/>
  <c r="A72" i="2" s="1"/>
  <c r="E34" i="2"/>
  <c r="P33" i="2"/>
  <c r="Q33" i="2" s="1"/>
  <c r="O33" i="2"/>
  <c r="H33" i="2"/>
  <c r="B22" i="2"/>
  <c r="B24" i="2" s="1"/>
  <c r="B19" i="2"/>
  <c r="E38" i="2" s="1"/>
  <c r="D15" i="2"/>
  <c r="AS71" i="2" s="1"/>
  <c r="H12" i="2" s="1"/>
  <c r="X58" i="2" s="1"/>
  <c r="D12" i="2"/>
  <c r="J11" i="2"/>
  <c r="Z57" i="2" s="1"/>
  <c r="I11" i="2"/>
  <c r="Y57" i="2" s="1"/>
  <c r="H11" i="2"/>
  <c r="X57" i="2" s="1"/>
  <c r="D11" i="2"/>
  <c r="D13" i="2" s="1"/>
  <c r="D10" i="2"/>
  <c r="D8" i="2" s="1"/>
  <c r="D14" i="2" s="1"/>
  <c r="D9" i="2"/>
  <c r="R75" i="1"/>
  <c r="S76" i="1" s="1"/>
  <c r="D75" i="1"/>
  <c r="C75" i="1"/>
  <c r="B75" i="1"/>
  <c r="F76" i="1" s="1"/>
  <c r="C74" i="1"/>
  <c r="B74" i="1"/>
  <c r="F75" i="1" s="1"/>
  <c r="D73" i="1"/>
  <c r="C73" i="1"/>
  <c r="R74" i="1" s="1"/>
  <c r="S75" i="1" s="1"/>
  <c r="B73" i="1"/>
  <c r="F74" i="1" s="1"/>
  <c r="G75" i="1" s="1"/>
  <c r="C72" i="1"/>
  <c r="R73" i="1" s="1"/>
  <c r="S74" i="1" s="1"/>
  <c r="AU71" i="1"/>
  <c r="D71" i="1"/>
  <c r="AD71" i="1" s="1"/>
  <c r="N68" i="1"/>
  <c r="M68" i="1"/>
  <c r="O68" i="1" s="1"/>
  <c r="I68" i="1"/>
  <c r="H68" i="1"/>
  <c r="J68" i="1" s="1"/>
  <c r="N67" i="1"/>
  <c r="M67" i="1"/>
  <c r="O67" i="1" s="1"/>
  <c r="J67" i="1"/>
  <c r="I67" i="1"/>
  <c r="H67" i="1"/>
  <c r="N66" i="1"/>
  <c r="M66" i="1"/>
  <c r="O66" i="1" s="1"/>
  <c r="I66" i="1"/>
  <c r="H66" i="1"/>
  <c r="J66" i="1" s="1"/>
  <c r="D76" i="1" s="1"/>
  <c r="AD76" i="1" s="1"/>
  <c r="N65" i="1"/>
  <c r="M65" i="1"/>
  <c r="O65" i="1" s="1"/>
  <c r="J65" i="1"/>
  <c r="I65" i="1"/>
  <c r="H65" i="1"/>
  <c r="N64" i="1"/>
  <c r="M64" i="1"/>
  <c r="O64" i="1" s="1"/>
  <c r="I64" i="1"/>
  <c r="H64" i="1"/>
  <c r="J64" i="1" s="1"/>
  <c r="D74" i="1" s="1"/>
  <c r="N63" i="1"/>
  <c r="M63" i="1"/>
  <c r="O63" i="1" s="1"/>
  <c r="J63" i="1"/>
  <c r="I63" i="1"/>
  <c r="H63" i="1"/>
  <c r="N62" i="1"/>
  <c r="M62" i="1"/>
  <c r="O62" i="1" s="1"/>
  <c r="I62" i="1"/>
  <c r="H62" i="1"/>
  <c r="J62" i="1" s="1"/>
  <c r="D72" i="1" s="1"/>
  <c r="AD73" i="1" s="1"/>
  <c r="N61" i="1"/>
  <c r="M61" i="1"/>
  <c r="O61" i="1" s="1"/>
  <c r="J61" i="1"/>
  <c r="I61" i="1"/>
  <c r="H61" i="1"/>
  <c r="X59" i="1"/>
  <c r="X57" i="1"/>
  <c r="O56" i="1"/>
  <c r="N56" i="1"/>
  <c r="P56" i="1" s="1"/>
  <c r="AV71" i="1" s="1"/>
  <c r="H14" i="1" s="1"/>
  <c r="X60" i="1" s="1"/>
  <c r="J56" i="1"/>
  <c r="K56" i="1" s="1"/>
  <c r="I56" i="1"/>
  <c r="O55" i="1"/>
  <c r="P55" i="1" s="1"/>
  <c r="N55" i="1"/>
  <c r="J55" i="1"/>
  <c r="I55" i="1"/>
  <c r="K55" i="1" s="1"/>
  <c r="E76" i="1" s="1"/>
  <c r="O54" i="1"/>
  <c r="N54" i="1"/>
  <c r="P54" i="1" s="1"/>
  <c r="J54" i="1"/>
  <c r="K54" i="1" s="1"/>
  <c r="E75" i="1" s="1"/>
  <c r="I54" i="1"/>
  <c r="O53" i="1"/>
  <c r="P53" i="1" s="1"/>
  <c r="N53" i="1"/>
  <c r="J53" i="1"/>
  <c r="I53" i="1"/>
  <c r="K53" i="1" s="1"/>
  <c r="E74" i="1" s="1"/>
  <c r="AQ71" i="1" s="1"/>
  <c r="J14" i="1" s="1"/>
  <c r="Z60" i="1" s="1"/>
  <c r="O52" i="1"/>
  <c r="N52" i="1"/>
  <c r="P52" i="1" s="1"/>
  <c r="J52" i="1"/>
  <c r="K52" i="1" s="1"/>
  <c r="E73" i="1" s="1"/>
  <c r="I52" i="1"/>
  <c r="O51" i="1"/>
  <c r="P51" i="1" s="1"/>
  <c r="N51" i="1"/>
  <c r="J51" i="1"/>
  <c r="I51" i="1"/>
  <c r="K51" i="1" s="1"/>
  <c r="E72" i="1" s="1"/>
  <c r="O50" i="1"/>
  <c r="N50" i="1"/>
  <c r="P50" i="1" s="1"/>
  <c r="J50" i="1"/>
  <c r="K50" i="1" s="1"/>
  <c r="E71" i="1" s="1"/>
  <c r="I50" i="1"/>
  <c r="C46" i="1"/>
  <c r="B76" i="1" s="1"/>
  <c r="B46" i="1"/>
  <c r="C76" i="1" s="1"/>
  <c r="R76" i="1" s="1"/>
  <c r="C45" i="1"/>
  <c r="B45" i="1"/>
  <c r="C44" i="1"/>
  <c r="B44" i="1"/>
  <c r="C43" i="1"/>
  <c r="B43" i="1"/>
  <c r="C42" i="1"/>
  <c r="B72" i="1" s="1"/>
  <c r="F73" i="1" s="1"/>
  <c r="G74" i="1" s="1"/>
  <c r="B42" i="1"/>
  <c r="C41" i="1"/>
  <c r="B71" i="1" s="1"/>
  <c r="B41" i="1"/>
  <c r="C71" i="1" s="1"/>
  <c r="Q38" i="1"/>
  <c r="P38" i="1"/>
  <c r="O38" i="1"/>
  <c r="H38" i="1"/>
  <c r="I38" i="1" s="1"/>
  <c r="A76" i="1" s="1"/>
  <c r="P37" i="1"/>
  <c r="O37" i="1"/>
  <c r="Q37" i="1" s="1"/>
  <c r="H37" i="1"/>
  <c r="I37" i="1" s="1"/>
  <c r="A75" i="1" s="1"/>
  <c r="E37" i="1"/>
  <c r="P36" i="1"/>
  <c r="O36" i="1"/>
  <c r="Q36" i="1" s="1"/>
  <c r="H36" i="1"/>
  <c r="I36" i="1" s="1"/>
  <c r="A74" i="1" s="1"/>
  <c r="AO71" i="1" s="1"/>
  <c r="J12" i="1" s="1"/>
  <c r="Z58" i="1" s="1"/>
  <c r="Q35" i="1"/>
  <c r="P35" i="1"/>
  <c r="O35" i="1"/>
  <c r="I35" i="1"/>
  <c r="A73" i="1" s="1"/>
  <c r="H35" i="1"/>
  <c r="O34" i="1"/>
  <c r="M34" i="1"/>
  <c r="P34" i="1" s="1"/>
  <c r="H34" i="1"/>
  <c r="I34" i="1" s="1"/>
  <c r="A72" i="1" s="1"/>
  <c r="AH71" i="1" s="1"/>
  <c r="Q33" i="1"/>
  <c r="P33" i="1"/>
  <c r="O33" i="1"/>
  <c r="M33" i="1"/>
  <c r="H33" i="1"/>
  <c r="I33" i="1" s="1"/>
  <c r="A71" i="1" s="1"/>
  <c r="B22" i="1"/>
  <c r="B24" i="1" s="1"/>
  <c r="B19" i="1"/>
  <c r="E36" i="1" s="1"/>
  <c r="H13" i="1"/>
  <c r="D12" i="1"/>
  <c r="D13" i="1" s="1"/>
  <c r="J11" i="1"/>
  <c r="Z57" i="1" s="1"/>
  <c r="I11" i="1"/>
  <c r="Y57" i="1" s="1"/>
  <c r="H11" i="1"/>
  <c r="D11" i="1"/>
  <c r="D9" i="1"/>
  <c r="D10" i="1" s="1"/>
  <c r="D8" i="1" s="1"/>
  <c r="D14" i="1" s="1"/>
  <c r="H10" i="2" l="1"/>
  <c r="AV71" i="2"/>
  <c r="U75" i="1"/>
  <c r="AC72" i="2"/>
  <c r="AD73" i="2" s="1"/>
  <c r="AC71" i="2"/>
  <c r="H10" i="1"/>
  <c r="X56" i="1" s="1"/>
  <c r="AW71" i="1"/>
  <c r="R72" i="2"/>
  <c r="S73" i="2" s="1"/>
  <c r="U74" i="2" s="1"/>
  <c r="R71" i="2"/>
  <c r="R33" i="2"/>
  <c r="R35" i="2"/>
  <c r="R38" i="2"/>
  <c r="R37" i="2"/>
  <c r="R34" i="2"/>
  <c r="F71" i="2"/>
  <c r="F72" i="2"/>
  <c r="G73" i="2" s="1"/>
  <c r="I74" i="2" s="1"/>
  <c r="Q34" i="1"/>
  <c r="R34" i="1" s="1"/>
  <c r="AD75" i="1"/>
  <c r="AE76" i="1" s="1"/>
  <c r="AP71" i="1"/>
  <c r="J13" i="1" s="1"/>
  <c r="Z59" i="1" s="1"/>
  <c r="AE74" i="1"/>
  <c r="R71" i="1"/>
  <c r="R72" i="1"/>
  <c r="S73" i="1" s="1"/>
  <c r="U74" i="1" s="1"/>
  <c r="G76" i="1"/>
  <c r="I76" i="1" s="1"/>
  <c r="AC75" i="2"/>
  <c r="AD76" i="2" s="1"/>
  <c r="R74" i="2"/>
  <c r="S75" i="2" s="1"/>
  <c r="U76" i="2" s="1"/>
  <c r="AO71" i="2"/>
  <c r="J13" i="2" s="1"/>
  <c r="Z59" i="2" s="1"/>
  <c r="AC73" i="2"/>
  <c r="AD74" i="2" s="1"/>
  <c r="AF75" i="2" s="1"/>
  <c r="AE72" i="1"/>
  <c r="AG73" i="1" s="1"/>
  <c r="AE71" i="1"/>
  <c r="AD75" i="2"/>
  <c r="AN71" i="2"/>
  <c r="J12" i="2" s="1"/>
  <c r="Z58" i="2" s="1"/>
  <c r="AG71" i="2"/>
  <c r="U76" i="1"/>
  <c r="G76" i="2"/>
  <c r="I75" i="2" s="1"/>
  <c r="R38" i="1"/>
  <c r="R33" i="1"/>
  <c r="R36" i="1"/>
  <c r="R37" i="1"/>
  <c r="R35" i="1"/>
  <c r="AD74" i="1"/>
  <c r="AE75" i="1" s="1"/>
  <c r="AG76" i="1" s="1"/>
  <c r="F72" i="1"/>
  <c r="G73" i="1" s="1"/>
  <c r="I74" i="1" s="1"/>
  <c r="F71" i="1"/>
  <c r="H13" i="2"/>
  <c r="X59" i="2" s="1"/>
  <c r="AT71" i="2"/>
  <c r="F76" i="2"/>
  <c r="E33" i="2"/>
  <c r="E35" i="1"/>
  <c r="AD72" i="1"/>
  <c r="AE73" i="1" s="1"/>
  <c r="I33" i="2"/>
  <c r="A71" i="2" s="1"/>
  <c r="E35" i="2"/>
  <c r="Q36" i="2"/>
  <c r="R36" i="2" s="1"/>
  <c r="E34" i="1"/>
  <c r="E36" i="2"/>
  <c r="E38" i="1"/>
  <c r="E33" i="1"/>
  <c r="AG72" i="1" l="1"/>
  <c r="AG71" i="1"/>
  <c r="AD72" i="2"/>
  <c r="AF73" i="2" s="1"/>
  <c r="AD71" i="2"/>
  <c r="D15" i="1"/>
  <c r="AT71" i="1" s="1"/>
  <c r="H12" i="1" s="1"/>
  <c r="X58" i="1" s="1"/>
  <c r="X56" i="2"/>
  <c r="G71" i="2"/>
  <c r="G72" i="2"/>
  <c r="I73" i="2" s="1"/>
  <c r="AG74" i="1"/>
  <c r="S72" i="1"/>
  <c r="U73" i="1" s="1"/>
  <c r="S71" i="1"/>
  <c r="AG75" i="1"/>
  <c r="I75" i="1"/>
  <c r="G71" i="1"/>
  <c r="G72" i="1"/>
  <c r="I73" i="1" s="1"/>
  <c r="I76" i="2"/>
  <c r="AF74" i="2"/>
  <c r="AF76" i="2"/>
  <c r="S71" i="2"/>
  <c r="S72" i="2"/>
  <c r="U73" i="2" s="1"/>
  <c r="U75" i="2"/>
  <c r="U71" i="2" l="1"/>
  <c r="U72" i="2"/>
  <c r="AF72" i="2"/>
  <c r="AF71" i="2"/>
  <c r="I71" i="1"/>
  <c r="I72" i="1"/>
  <c r="U71" i="1"/>
  <c r="U72" i="1"/>
  <c r="I72" i="2"/>
  <c r="I71" i="2"/>
  <c r="AJ71" i="1"/>
  <c r="AL71" i="1" s="1"/>
  <c r="AN71" i="1" s="1"/>
  <c r="AI71" i="1"/>
  <c r="K71" i="1" l="1"/>
  <c r="N71" i="1" s="1"/>
  <c r="J71" i="1"/>
  <c r="M71" i="1" s="1"/>
  <c r="L71" i="1"/>
  <c r="O71" i="1" s="1"/>
  <c r="AI71" i="2"/>
  <c r="AK71" i="2" s="1"/>
  <c r="AM71" i="2" s="1"/>
  <c r="AH71" i="2"/>
  <c r="W71" i="2"/>
  <c r="Z71" i="2" s="1"/>
  <c r="I13" i="2" s="1"/>
  <c r="Y59" i="2" s="1"/>
  <c r="X71" i="2"/>
  <c r="AA71" i="2" s="1"/>
  <c r="I14" i="2" s="1"/>
  <c r="Y60" i="2" s="1"/>
  <c r="V71" i="2"/>
  <c r="Y71" i="2" s="1"/>
  <c r="I12" i="2" s="1"/>
  <c r="Y58" i="2" s="1"/>
  <c r="K71" i="2"/>
  <c r="N71" i="2" s="1"/>
  <c r="J71" i="2"/>
  <c r="M71" i="2" s="1"/>
  <c r="L71" i="2"/>
  <c r="O71" i="2" s="1"/>
  <c r="W71" i="1"/>
  <c r="Z71" i="1" s="1"/>
  <c r="I13" i="1" s="1"/>
  <c r="Y59" i="1" s="1"/>
  <c r="V71" i="1"/>
  <c r="Y71" i="1" s="1"/>
  <c r="I12" i="1" s="1"/>
  <c r="Y58" i="1" s="1"/>
  <c r="X71" i="1"/>
  <c r="AA71" i="1" s="1"/>
  <c r="I14" i="1" s="1"/>
  <c r="Y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2" authorId="0" shapeId="0" xr:uid="{00000000-0006-0000-0000-000001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Red highlighted value comes from plant data conversion table</t>
        </r>
      </text>
    </comment>
    <comment ref="D32" authorId="0" shapeId="0" xr:uid="{00000000-0006-0000-0000-000002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Sub-sample weight 
</t>
        </r>
      </text>
    </comment>
    <comment ref="D40" authorId="0" shapeId="0" xr:uid="{00000000-0006-0000-0000-000003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readings</t>
        </r>
      </text>
    </comment>
    <comment ref="I40" authorId="0" shapeId="0" xr:uid="{00000000-0006-0000-0000-000006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
Extra slots are given for outliers</t>
        </r>
      </text>
    </comment>
    <comment ref="D49" authorId="0" shapeId="0" xr:uid="{00000000-0006-0000-0000-000004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Sample volume will remain same unless need to change due to thickness of filtrate </t>
        </r>
      </text>
    </comment>
    <comment ref="D60" authorId="0" shapeId="0" xr:uid="{00000000-0006-0000-0000-000005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Sample + Tray weight &gt;= 5g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2" authorId="0" shapeId="0" xr:uid="{00000000-0006-0000-0100-000001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Red highlighted value comes from plant data conversion table</t>
        </r>
      </text>
    </comment>
    <comment ref="D32" authorId="0" shapeId="0" xr:uid="{00000000-0006-0000-0100-000002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Sub-sample weight 
</t>
        </r>
      </text>
    </comment>
    <comment ref="D40" authorId="0" shapeId="0" xr:uid="{00000000-0006-0000-0100-000003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readings</t>
        </r>
      </text>
    </comment>
    <comment ref="I40" authorId="0" shapeId="0" xr:uid="{00000000-0006-0000-0100-000006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
Extra slots are given for outliers</t>
        </r>
      </text>
    </comment>
    <comment ref="D49" authorId="0" shapeId="0" xr:uid="{00000000-0006-0000-0100-000004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Sample volume will remain same unless need to change due to thickness of filtrate </t>
        </r>
      </text>
    </comment>
    <comment ref="D60" authorId="0" shapeId="0" xr:uid="{00000000-0006-0000-0100-000005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Sample + Tray weight &gt;= 5g</t>
        </r>
      </text>
    </comment>
  </commentList>
</comments>
</file>

<file path=xl/sharedStrings.xml><?xml version="1.0" encoding="utf-8"?>
<sst xmlns="http://schemas.openxmlformats.org/spreadsheetml/2006/main" count="387" uniqueCount="150">
  <si>
    <t>General guidelines:</t>
  </si>
  <si>
    <t xml:space="preserve"> fill in blue cells</t>
  </si>
  <si>
    <t>other cells are calculated</t>
  </si>
  <si>
    <t>Bench Scale Dewatering test Summary - 05/28/2024</t>
  </si>
  <si>
    <t>Plant Data Conversion</t>
  </si>
  <si>
    <t>Summary Table</t>
  </si>
  <si>
    <t>Belt No.</t>
  </si>
  <si>
    <t>A4</t>
  </si>
  <si>
    <t>Poly Loading (lb)</t>
  </si>
  <si>
    <t>batch testing</t>
  </si>
  <si>
    <t>Poly Ratio</t>
  </si>
  <si>
    <t>Floc Poly Flow (gpm)</t>
  </si>
  <si>
    <t>unit</t>
  </si>
  <si>
    <t>Plant</t>
  </si>
  <si>
    <t>OPD</t>
  </si>
  <si>
    <t>EPD</t>
  </si>
  <si>
    <t>Sludge Flow (gpm)</t>
  </si>
  <si>
    <t>Poly Floc Flow (mgd)</t>
  </si>
  <si>
    <t>BFP TS</t>
  </si>
  <si>
    <t>%TS</t>
  </si>
  <si>
    <t xml:space="preserve">Polymer sol. </t>
  </si>
  <si>
    <t>Sludge Flow(mgd)</t>
  </si>
  <si>
    <t>Polymer ratio setting</t>
  </si>
  <si>
    <t>-</t>
  </si>
  <si>
    <t>SBT3 TS % LAB_TSPCT_J04</t>
  </si>
  <si>
    <t>Calculated BFP TS (%)</t>
  </si>
  <si>
    <t>Polymer dose</t>
  </si>
  <si>
    <t>lb/tonTS</t>
  </si>
  <si>
    <t>BFP TS %</t>
  </si>
  <si>
    <t>BFP Sludge Loading (dtpd)</t>
  </si>
  <si>
    <t>Cake TS</t>
  </si>
  <si>
    <t>DIG SLDG FLOW  FROM SBT (gpm)</t>
  </si>
  <si>
    <t>Plant Polydose (Ib/ton) - method 1</t>
  </si>
  <si>
    <t>Filtrate TSS</t>
  </si>
  <si>
    <t>mg TSS/L</t>
  </si>
  <si>
    <t>DIL WTR FLOW TO BFP (gpm)</t>
  </si>
  <si>
    <t>Plant Polydose (Ib/ton) - method 2</t>
  </si>
  <si>
    <t xml:space="preserve">Assumptions and Constants: </t>
  </si>
  <si>
    <t>1 g =</t>
  </si>
  <si>
    <t>lb</t>
  </si>
  <si>
    <t>ton</t>
  </si>
  <si>
    <t>Cup Diameter</t>
  </si>
  <si>
    <t>inches</t>
  </si>
  <si>
    <t xml:space="preserve">Cup Area: </t>
  </si>
  <si>
    <r>
      <rPr>
        <sz val="12"/>
        <color theme="1"/>
        <rFont val="Aptos Narrow"/>
        <family val="2"/>
        <charset val="1"/>
      </rPr>
      <t>m</t>
    </r>
    <r>
      <rPr>
        <vertAlign val="superscript"/>
        <sz val="12"/>
        <color theme="1"/>
        <rFont val="Aptos Narrow"/>
        <family val="2"/>
        <charset val="1"/>
      </rPr>
      <t>2</t>
    </r>
  </si>
  <si>
    <r>
      <rPr>
        <sz val="12"/>
        <color theme="1"/>
        <rFont val="Aptos Narrow"/>
        <family val="2"/>
        <charset val="1"/>
      </rPr>
      <t>Aiming for 0.80 kg of DS per m</t>
    </r>
    <r>
      <rPr>
        <vertAlign val="superscript"/>
        <sz val="12"/>
        <color theme="1"/>
        <rFont val="Aptos Narrow"/>
        <family val="2"/>
        <charset val="1"/>
      </rPr>
      <t>2</t>
    </r>
    <r>
      <rPr>
        <sz val="12"/>
        <color theme="1"/>
        <rFont val="Aptos Narrow"/>
        <family val="2"/>
        <charset val="1"/>
      </rPr>
      <t xml:space="preserve"> of cup area</t>
    </r>
  </si>
  <si>
    <t>Cup Loading</t>
  </si>
  <si>
    <t>grams of DS</t>
  </si>
  <si>
    <t>Assuming</t>
  </si>
  <si>
    <t>TS in sludge</t>
  </si>
  <si>
    <t>Assuming 100% Capture in free drainage</t>
  </si>
  <si>
    <t>Polymer Solution</t>
  </si>
  <si>
    <t>Plains Target DS</t>
  </si>
  <si>
    <t>4 to 7</t>
  </si>
  <si>
    <t>kg DS/m</t>
  </si>
  <si>
    <t>Calculation</t>
  </si>
  <si>
    <t>Sample #</t>
  </si>
  <si>
    <t>Polymer Dose
 (lb polymer/
ton sludge)</t>
  </si>
  <si>
    <t>Actual Belt Filter Press before PD TS (%)</t>
  </si>
  <si>
    <t>Sludge Weight
 (g)</t>
  </si>
  <si>
    <t>Calculation Polymer Added(g)</t>
  </si>
  <si>
    <t>Polymer Before (g)</t>
  </si>
  <si>
    <t>Poymer after
(g)</t>
  </si>
  <si>
    <t>Actual Polymer Added (g)</t>
  </si>
  <si>
    <t>Actual Polymer Added (lb/ton)</t>
  </si>
  <si>
    <t>Sieve 
Weight (g)</t>
  </si>
  <si>
    <t>Bucket Weight (g)</t>
  </si>
  <si>
    <t>Sieve + Wet Solids Weight (g)</t>
  </si>
  <si>
    <t>Bucket + Filtrate (g)</t>
  </si>
  <si>
    <t>Capture Efficiency (%)</t>
  </si>
  <si>
    <t>Filtered Solids (g)</t>
  </si>
  <si>
    <t>Filtrate (g)</t>
  </si>
  <si>
    <t>Estimated TS% of Wet Solids on frabic</t>
  </si>
  <si>
    <t>Target WS in Cup (g)</t>
  </si>
  <si>
    <t>CST Table</t>
  </si>
  <si>
    <t>CST  Sludge (Avrg)</t>
  </si>
  <si>
    <t>CST  Supernatant (Avrg)</t>
  </si>
  <si>
    <t xml:space="preserve">CST Sludge </t>
  </si>
  <si>
    <t>CST Supernatant</t>
  </si>
  <si>
    <t>Summary - 05 - 03 - 2024</t>
  </si>
  <si>
    <t>Trend over time</t>
  </si>
  <si>
    <t>Target table</t>
  </si>
  <si>
    <t>TSS - VSS</t>
  </si>
  <si>
    <t>Filtrate TS</t>
  </si>
  <si>
    <t>Sample ID/#</t>
  </si>
  <si>
    <t>Foil Tray+Filter Weight (g ) #1</t>
  </si>
  <si>
    <t>Foil Tray+Filter Weight (g ) #2</t>
  </si>
  <si>
    <t>Sample Volume (ml) #1</t>
  </si>
  <si>
    <t>Sample Volume (ml) #2</t>
  </si>
  <si>
    <t>After 103 °C #1</t>
  </si>
  <si>
    <t>After 103 °C #2</t>
  </si>
  <si>
    <t>Dilution Factor</t>
  </si>
  <si>
    <t>TSS-1</t>
  </si>
  <si>
    <t>TSS-2</t>
  </si>
  <si>
    <t>TSS (g TSS/L)</t>
  </si>
  <si>
    <t>After 550 °C #1</t>
  </si>
  <si>
    <t>After 550 °C #2</t>
  </si>
  <si>
    <t>VSS-1 (%)</t>
  </si>
  <si>
    <t>VSS-2 (%)</t>
  </si>
  <si>
    <t>VSS (%)</t>
  </si>
  <si>
    <t>Unit</t>
  </si>
  <si>
    <t>%</t>
  </si>
  <si>
    <t>3 - 3.9</t>
  </si>
  <si>
    <t>&lt;= 812</t>
  </si>
  <si>
    <t>Plant Filterate</t>
  </si>
  <si>
    <t>.</t>
  </si>
  <si>
    <t>vol/vol</t>
  </si>
  <si>
    <t>TS - VS</t>
  </si>
  <si>
    <t>Foil Tray  (g) #1</t>
  </si>
  <si>
    <t>Foil Tray (g) #2</t>
  </si>
  <si>
    <t>Tray +Sample (g) #1</t>
  </si>
  <si>
    <t>Tray + Sample (g) #2</t>
  </si>
  <si>
    <t>TS-1 (%)</t>
  </si>
  <si>
    <t>TS-2 (%)</t>
  </si>
  <si>
    <t>TS (%)</t>
  </si>
  <si>
    <t>VS-1 (%)</t>
  </si>
  <si>
    <t>VS-2 (%)</t>
  </si>
  <si>
    <t>VS (%)</t>
  </si>
  <si>
    <t>Plant Cake</t>
  </si>
  <si>
    <t>Sludge</t>
  </si>
  <si>
    <t>CST Supernatant (second)</t>
  </si>
  <si>
    <t>CST Sludge
(second)</t>
  </si>
  <si>
    <t>Lab Cake TS
(%)</t>
  </si>
  <si>
    <t>Lab Filtrate TSS
(mg TSS/L)</t>
  </si>
  <si>
    <t>Ave</t>
  </si>
  <si>
    <t>Diff</t>
  </si>
  <si>
    <t>Tolerance
(%)</t>
  </si>
  <si>
    <t>1 or 2</t>
  </si>
  <si>
    <t>OPD
(lb/ton)</t>
  </si>
  <si>
    <t>OPD Cake TS
(%)</t>
  </si>
  <si>
    <t>OPD Filtrate TSS
(mg TSS/L)</t>
  </si>
  <si>
    <t>Manual check</t>
  </si>
  <si>
    <t>Note:
Based on Supernatant</t>
  </si>
  <si>
    <t>Note:
Based on Sludge</t>
  </si>
  <si>
    <t>EOPD Checked with Cake TS
(lb/ton)</t>
  </si>
  <si>
    <t>EOPD Cake TS
(%)</t>
  </si>
  <si>
    <t>EOPD Filtrate TSS
(mg TSS/L)</t>
  </si>
  <si>
    <t>Target
 Fiftrate TSS
(mg TSS/L)</t>
  </si>
  <si>
    <t>EOPD checked with Filtrate TSS 
(lb/ton)</t>
  </si>
  <si>
    <t>Check filtrate condition</t>
  </si>
  <si>
    <t xml:space="preserve">1 or 2
</t>
  </si>
  <si>
    <t>Manual check (yes/No)</t>
  </si>
  <si>
    <t>Note</t>
  </si>
  <si>
    <t>Grab Plant PD
(lb/Ton)</t>
  </si>
  <si>
    <t>Plant Cake TS
(%)</t>
  </si>
  <si>
    <t>Plant Filtrate
(mg TSS/L)</t>
  </si>
  <si>
    <t>Lab DW Feed TS (%)</t>
  </si>
  <si>
    <t>yes</t>
  </si>
  <si>
    <t>Bench Scale Dewatering test Summary - 05/21/2024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</si>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</sst>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0.0"/>
    <numFmt numFmtId="166" formatCode="0.000"/>
    <numFmt numFmtId="167" formatCode="0.0000"/>
    <numFmt numFmtId="168" formatCode="#,##0.0000"/>
  </numFmts>
  <fonts count="26" x14ac:knownFonts="1">
    <font>
      <sz val="11"/>
      <color theme="1"/>
      <name val="Aptos Narrow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Aptos Narrow"/>
      <family val="2"/>
      <charset val="1"/>
    </font>
    <font>
      <i/>
      <sz val="12"/>
      <color theme="1"/>
      <name val="Aptos Narrow"/>
      <family val="2"/>
      <charset val="1"/>
    </font>
    <font>
      <b/>
      <sz val="26"/>
      <color theme="1"/>
      <name val="Aptos Narrow"/>
      <family val="2"/>
      <charset val="1"/>
    </font>
    <font>
      <b/>
      <sz val="12"/>
      <color theme="0"/>
      <name val="Aptos Narrow"/>
      <family val="2"/>
      <charset val="1"/>
    </font>
    <font>
      <sz val="12"/>
      <name val="Calibri"/>
      <family val="2"/>
      <charset val="1"/>
    </font>
    <font>
      <sz val="11"/>
      <color rgb="FF000000"/>
      <name val="Aptos Narrow"/>
      <family val="2"/>
      <charset val="1"/>
    </font>
    <font>
      <sz val="12"/>
      <color theme="4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2"/>
      <name val="Aptos Narrow"/>
      <family val="2"/>
      <charset val="1"/>
    </font>
    <font>
      <b/>
      <sz val="18"/>
      <color theme="1"/>
      <name val="Aptos Narrow"/>
      <family val="2"/>
      <charset val="1"/>
    </font>
    <font>
      <b/>
      <sz val="12"/>
      <color theme="1"/>
      <name val="Aptos Narrow"/>
      <family val="2"/>
      <charset val="1"/>
    </font>
    <font>
      <vertAlign val="superscript"/>
      <sz val="12"/>
      <color theme="1"/>
      <name val="Aptos Narrow"/>
      <family val="2"/>
      <charset val="1"/>
    </font>
    <font>
      <b/>
      <sz val="14"/>
      <color theme="1"/>
      <name val="Aptos Narrow"/>
      <family val="2"/>
      <charset val="1"/>
    </font>
    <font>
      <sz val="12"/>
      <name val="Times New Roman"/>
      <family val="1"/>
      <charset val="1"/>
    </font>
    <font>
      <sz val="12"/>
      <color rgb="FF000000"/>
      <name val="Aptos Narrow"/>
      <family val="2"/>
      <charset val="1"/>
    </font>
    <font>
      <sz val="12"/>
      <color rgb="FFFF0000"/>
      <name val="Aptos Narrow"/>
      <family val="2"/>
      <charset val="1"/>
    </font>
    <font>
      <b/>
      <sz val="12"/>
      <color rgb="FFFF0000"/>
      <name val="Times New Roman"/>
      <family val="1"/>
      <charset val="1"/>
    </font>
    <font>
      <b/>
      <sz val="12"/>
      <name val="Aptos Narrow"/>
      <family val="2"/>
      <charset val="1"/>
    </font>
    <font>
      <b/>
      <sz val="12"/>
      <color rgb="FF000000"/>
      <name val="Aptos Narrow"/>
      <family val="2"/>
      <charset val="1"/>
    </font>
    <font>
      <i/>
      <sz val="11"/>
      <color theme="1"/>
      <name val="Aptos Narrow"/>
      <family val="2"/>
      <charset val="1"/>
    </font>
    <font>
      <b/>
      <sz val="12"/>
      <color theme="1"/>
      <name val="Times New Roman"/>
      <family val="1"/>
      <charset val="1"/>
    </font>
    <font>
      <b/>
      <sz val="12"/>
      <color theme="5" tint="-0.249977111117893"/>
      <name val="Aptos Narrow"/>
      <family val="2"/>
      <charset val="1"/>
    </font>
    <font>
      <sz val="10"/>
      <name val="Arial"/>
      <family val="2"/>
    </font>
    <font>
      <sz val="11"/>
      <color theme="1"/>
      <name val="Aptos Narrow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rgb="FFD9D9D9"/>
      </patternFill>
    </fill>
    <fill>
      <patternFill patternType="solid">
        <fgColor theme="9" tint="0.39988402966399123"/>
        <bgColor rgb="FF83CBEB"/>
      </patternFill>
    </fill>
    <fill>
      <patternFill patternType="solid">
        <fgColor theme="4" tint="0.59987182226020086"/>
        <bgColor rgb="FF96DCF8"/>
      </patternFill>
    </fill>
    <fill>
      <patternFill patternType="solid">
        <fgColor theme="4"/>
        <bgColor rgb="FF0B76A0"/>
      </patternFill>
    </fill>
    <fill>
      <patternFill patternType="solid">
        <fgColor theme="0"/>
        <bgColor rgb="FFFDEADA"/>
      </patternFill>
    </fill>
    <fill>
      <patternFill patternType="solid">
        <fgColor rgb="FFEC79FF"/>
        <bgColor rgb="FFFF8080"/>
      </patternFill>
    </fill>
    <fill>
      <patternFill patternType="solid">
        <fgColor rgb="FFFDEADA"/>
        <bgColor rgb="FFFBE3D6"/>
      </patternFill>
    </fill>
    <fill>
      <patternFill patternType="solid">
        <fgColor theme="7" tint="0.59987182226020086"/>
        <bgColor rgb="FF83CBEB"/>
      </patternFill>
    </fill>
    <fill>
      <patternFill patternType="solid">
        <fgColor theme="3" tint="0.89989928891872917"/>
        <bgColor rgb="FFD9D9D9"/>
      </patternFill>
    </fill>
    <fill>
      <patternFill patternType="solid">
        <fgColor rgb="FF31FFFA"/>
        <bgColor rgb="FF00FFFF"/>
      </patternFill>
    </fill>
    <fill>
      <patternFill patternType="solid">
        <fgColor rgb="FFFF9831"/>
        <bgColor rgb="FFF2AA84"/>
      </patternFill>
    </fill>
    <fill>
      <patternFill patternType="solid">
        <fgColor theme="5" tint="0.79989013336588644"/>
        <bgColor rgb="FFFDEADA"/>
      </patternFill>
    </fill>
    <fill>
      <patternFill patternType="solid">
        <fgColor theme="5" tint="0.39988402966399123"/>
        <bgColor rgb="FFFF9831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164" fontId="25" fillId="0" borderId="0" applyBorder="0" applyProtection="0"/>
    <xf numFmtId="0" fontId="1" fillId="0" borderId="0"/>
    <xf numFmtId="0" fontId="2" fillId="0" borderId="0"/>
    <xf numFmtId="9" fontId="25" fillId="0" borderId="0" applyBorder="0" applyProtection="0"/>
    <xf numFmtId="0" fontId="25" fillId="0" borderId="0" applyBorder="0" applyProtection="0">
      <alignment horizontal="left"/>
    </xf>
    <xf numFmtId="0" fontId="25" fillId="0" borderId="0" applyBorder="0" applyProtection="0"/>
    <xf numFmtId="0" fontId="25" fillId="0" borderId="0" applyBorder="0" applyProtection="0"/>
    <xf numFmtId="0" fontId="25" fillId="0" borderId="0" applyBorder="0" applyProtection="0"/>
  </cellStyleXfs>
  <cellXfs count="189">
    <xf numFmtId="0" fontId="0" fillId="0" borderId="0" xfId="0"/>
    <xf numFmtId="0" fontId="5" fillId="5" borderId="8" xfId="0" applyFont="1" applyFill="1" applyBorder="1" applyAlignment="1">
      <alignment horizontal="center"/>
    </xf>
    <xf numFmtId="0" fontId="2" fillId="2" borderId="0" xfId="0" applyFont="1" applyFill="1"/>
    <xf numFmtId="0" fontId="2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3" fillId="3" borderId="0" xfId="0" applyFont="1" applyFill="1"/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165" fontId="2" fillId="6" borderId="10" xfId="0" applyNumberFormat="1" applyFont="1" applyFill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6" borderId="13" xfId="0" applyFont="1" applyFill="1" applyBorder="1"/>
    <xf numFmtId="0" fontId="2" fillId="6" borderId="2" xfId="0" applyFont="1" applyFill="1" applyBorder="1"/>
    <xf numFmtId="0" fontId="2" fillId="6" borderId="14" xfId="0" applyFont="1" applyFill="1" applyBorder="1"/>
    <xf numFmtId="0" fontId="8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2" fillId="6" borderId="16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2" fillId="6" borderId="19" xfId="0" applyFont="1" applyFill="1" applyBorder="1"/>
    <xf numFmtId="0" fontId="2" fillId="6" borderId="0" xfId="0" applyFont="1" applyFill="1"/>
    <xf numFmtId="0" fontId="2" fillId="6" borderId="20" xfId="0" applyFont="1" applyFill="1" applyBorder="1"/>
    <xf numFmtId="0" fontId="6" fillId="4" borderId="21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166" fontId="7" fillId="0" borderId="18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167" fontId="2" fillId="6" borderId="16" xfId="0" applyNumberFormat="1" applyFont="1" applyFill="1" applyBorder="1" applyAlignment="1">
      <alignment horizontal="center"/>
    </xf>
    <xf numFmtId="165" fontId="7" fillId="0" borderId="18" xfId="0" applyNumberFormat="1" applyFont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8" fillId="0" borderId="22" xfId="0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2" fontId="11" fillId="6" borderId="23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2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1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0" fillId="8" borderId="15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15" fillId="4" borderId="8" xfId="0" applyNumberFormat="1" applyFont="1" applyFill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2" fontId="17" fillId="0" borderId="9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 vertical="center"/>
    </xf>
    <xf numFmtId="2" fontId="2" fillId="9" borderId="31" xfId="0" applyNumberFormat="1" applyFont="1" applyFill="1" applyBorder="1" applyAlignment="1">
      <alignment horizontal="center" vertical="center"/>
    </xf>
    <xf numFmtId="2" fontId="2" fillId="9" borderId="32" xfId="0" applyNumberFormat="1" applyFont="1" applyFill="1" applyBorder="1" applyAlignment="1">
      <alignment horizontal="center" vertical="center"/>
    </xf>
    <xf numFmtId="2" fontId="2" fillId="9" borderId="33" xfId="0" applyNumberFormat="1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16" xfId="0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0" fontId="2" fillId="6" borderId="34" xfId="0" applyFont="1" applyFill="1" applyBorder="1"/>
    <xf numFmtId="0" fontId="2" fillId="6" borderId="35" xfId="0" applyFont="1" applyFill="1" applyBorder="1"/>
    <xf numFmtId="0" fontId="2" fillId="6" borderId="20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9" borderId="21" xfId="0" applyFont="1" applyFill="1" applyBorder="1" applyAlignment="1">
      <alignment horizontal="center" vertical="center"/>
    </xf>
    <xf numFmtId="168" fontId="16" fillId="9" borderId="8" xfId="0" applyNumberFormat="1" applyFont="1" applyFill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2" fontId="16" fillId="0" borderId="27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0" fillId="0" borderId="38" xfId="0" applyFont="1" applyBorder="1" applyAlignment="1">
      <alignment horizontal="center"/>
    </xf>
    <xf numFmtId="168" fontId="16" fillId="9" borderId="0" xfId="0" applyNumberFormat="1" applyFont="1" applyFill="1" applyAlignment="1">
      <alignment horizontal="center" vertical="center"/>
    </xf>
    <xf numFmtId="2" fontId="2" fillId="9" borderId="3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2" fontId="2" fillId="9" borderId="4" xfId="0" applyNumberFormat="1" applyFont="1" applyFill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168" fontId="2" fillId="3" borderId="0" xfId="0" applyNumberFormat="1" applyFont="1" applyFill="1"/>
    <xf numFmtId="166" fontId="7" fillId="0" borderId="8" xfId="0" applyNumberFormat="1" applyFont="1" applyBorder="1" applyAlignment="1">
      <alignment horizontal="center" vertical="center"/>
    </xf>
    <xf numFmtId="166" fontId="7" fillId="0" borderId="16" xfId="0" applyNumberFormat="1" applyFont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/>
    </xf>
    <xf numFmtId="165" fontId="7" fillId="0" borderId="8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23" xfId="0" applyNumberFormat="1" applyFont="1" applyBorder="1" applyAlignment="1">
      <alignment horizontal="center" vertical="center"/>
    </xf>
    <xf numFmtId="167" fontId="10" fillId="9" borderId="32" xfId="0" applyNumberFormat="1" applyFont="1" applyFill="1" applyBorder="1" applyAlignment="1">
      <alignment horizontal="center" vertical="center"/>
    </xf>
    <xf numFmtId="167" fontId="10" fillId="9" borderId="21" xfId="0" applyNumberFormat="1" applyFont="1" applyFill="1" applyBorder="1" applyAlignment="1">
      <alignment horizontal="center" vertical="center"/>
    </xf>
    <xf numFmtId="167" fontId="10" fillId="9" borderId="8" xfId="0" applyNumberFormat="1" applyFont="1" applyFill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2" fillId="6" borderId="28" xfId="0" applyFont="1" applyFill="1" applyBorder="1"/>
    <xf numFmtId="0" fontId="2" fillId="6" borderId="39" xfId="0" applyFont="1" applyFill="1" applyBorder="1"/>
    <xf numFmtId="0" fontId="2" fillId="6" borderId="40" xfId="0" applyFont="1" applyFill="1" applyBorder="1"/>
    <xf numFmtId="0" fontId="21" fillId="6" borderId="39" xfId="0" applyFont="1" applyFill="1" applyBorder="1"/>
    <xf numFmtId="0" fontId="2" fillId="6" borderId="41" xfId="0" applyFont="1" applyFill="1" applyBorder="1"/>
    <xf numFmtId="2" fontId="10" fillId="9" borderId="8" xfId="0" applyNumberFormat="1" applyFont="1" applyFill="1" applyBorder="1" applyAlignment="1">
      <alignment horizontal="center" vertical="center"/>
    </xf>
    <xf numFmtId="167" fontId="10" fillId="9" borderId="37" xfId="0" applyNumberFormat="1" applyFont="1" applyFill="1" applyBorder="1" applyAlignment="1">
      <alignment horizontal="center" vertical="center"/>
    </xf>
    <xf numFmtId="167" fontId="10" fillId="9" borderId="36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167" fontId="10" fillId="9" borderId="4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0" fontId="22" fillId="0" borderId="31" xfId="0" applyFont="1" applyBorder="1" applyAlignment="1">
      <alignment horizontal="center" wrapText="1"/>
    </xf>
    <xf numFmtId="0" fontId="22" fillId="0" borderId="32" xfId="0" applyFont="1" applyBorder="1" applyAlignment="1">
      <alignment horizontal="center" wrapText="1"/>
    </xf>
    <xf numFmtId="0" fontId="12" fillId="0" borderId="3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2" xfId="0" applyFont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0" fontId="12" fillId="13" borderId="32" xfId="0" applyFont="1" applyFill="1" applyBorder="1" applyAlignment="1">
      <alignment horizontal="center" wrapText="1"/>
    </xf>
    <xf numFmtId="0" fontId="23" fillId="13" borderId="32" xfId="0" applyFont="1" applyFill="1" applyBorder="1" applyAlignment="1">
      <alignment horizontal="center" wrapText="1"/>
    </xf>
    <xf numFmtId="0" fontId="23" fillId="13" borderId="33" xfId="0" applyFont="1" applyFill="1" applyBorder="1" applyAlignment="1">
      <alignment horizontal="center" wrapText="1"/>
    </xf>
    <xf numFmtId="0" fontId="12" fillId="14" borderId="31" xfId="0" applyFont="1" applyFill="1" applyBorder="1" applyAlignment="1">
      <alignment horizontal="center" wrapText="1"/>
    </xf>
    <xf numFmtId="0" fontId="12" fillId="14" borderId="32" xfId="0" applyFont="1" applyFill="1" applyBorder="1" applyAlignment="1">
      <alignment horizontal="center"/>
    </xf>
    <xf numFmtId="0" fontId="12" fillId="14" borderId="32" xfId="0" applyFont="1" applyFill="1" applyBorder="1" applyAlignment="1">
      <alignment horizontal="center" wrapText="1"/>
    </xf>
    <xf numFmtId="0" fontId="23" fillId="14" borderId="32" xfId="0" applyFont="1" applyFill="1" applyBorder="1" applyAlignment="1">
      <alignment horizontal="center" wrapText="1"/>
    </xf>
    <xf numFmtId="0" fontId="23" fillId="14" borderId="42" xfId="0" applyFont="1" applyFill="1" applyBorder="1" applyAlignment="1">
      <alignment horizontal="center" wrapText="1"/>
    </xf>
    <xf numFmtId="0" fontId="23" fillId="14" borderId="33" xfId="0" applyFont="1" applyFill="1" applyBorder="1" applyAlignment="1">
      <alignment horizontal="center" wrapText="1"/>
    </xf>
    <xf numFmtId="0" fontId="23" fillId="0" borderId="32" xfId="0" applyFont="1" applyBorder="1" applyAlignment="1">
      <alignment horizontal="center" wrapText="1"/>
    </xf>
    <xf numFmtId="0" fontId="23" fillId="3" borderId="32" xfId="0" applyFont="1" applyFill="1" applyBorder="1" applyAlignment="1">
      <alignment horizontal="center" wrapText="1"/>
    </xf>
    <xf numFmtId="0" fontId="12" fillId="0" borderId="33" xfId="0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13" borderId="8" xfId="0" applyNumberFormat="1" applyFont="1" applyFill="1" applyBorder="1" applyAlignment="1">
      <alignment horizontal="center"/>
    </xf>
    <xf numFmtId="165" fontId="2" fillId="13" borderId="16" xfId="0" applyNumberFormat="1" applyFont="1" applyFill="1" applyBorder="1" applyAlignment="1">
      <alignment horizontal="center"/>
    </xf>
    <xf numFmtId="165" fontId="2" fillId="14" borderId="15" xfId="0" applyNumberFormat="1" applyFont="1" applyFill="1" applyBorder="1" applyAlignment="1">
      <alignment horizontal="center"/>
    </xf>
    <xf numFmtId="165" fontId="2" fillId="14" borderId="8" xfId="0" applyNumberFormat="1" applyFont="1" applyFill="1" applyBorder="1" applyAlignment="1">
      <alignment horizontal="center"/>
    </xf>
    <xf numFmtId="165" fontId="2" fillId="14" borderId="27" xfId="0" applyNumberFormat="1" applyFont="1" applyFill="1" applyBorder="1" applyAlignment="1">
      <alignment horizontal="center"/>
    </xf>
    <xf numFmtId="165" fontId="2" fillId="14" borderId="16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 wrapText="1"/>
    </xf>
    <xf numFmtId="165" fontId="2" fillId="2" borderId="0" xfId="0" applyNumberFormat="1" applyFont="1" applyFill="1" applyAlignment="1">
      <alignment horizontal="center"/>
    </xf>
    <xf numFmtId="165" fontId="2" fillId="13" borderId="0" xfId="0" applyNumberFormat="1" applyFont="1" applyFill="1" applyAlignment="1">
      <alignment horizontal="center"/>
    </xf>
    <xf numFmtId="2" fontId="12" fillId="6" borderId="23" xfId="0" applyNumberFormat="1" applyFont="1" applyFill="1" applyBorder="1" applyAlignment="1">
      <alignment horizontal="center"/>
    </xf>
    <xf numFmtId="0" fontId="19" fillId="10" borderId="3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20" fillId="11" borderId="26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20" fillId="12" borderId="31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horizontal="center"/>
    </xf>
    <xf numFmtId="0" fontId="14" fillId="7" borderId="29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 vertical="center" wrapText="1"/>
    </xf>
    <xf numFmtId="0" fontId="10" fillId="8" borderId="30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</cellXfs>
  <cellStyles count="9">
    <cellStyle name="Comma 2" xfId="1" xr:uid="{00000000-0005-0000-0000-000006000000}"/>
    <cellStyle name="Normal" xfId="0" builtinId="0"/>
    <cellStyle name="Normal 2" xfId="2" xr:uid="{00000000-0005-0000-0000-000007000000}"/>
    <cellStyle name="Normal 3" xfId="3" xr:uid="{00000000-0005-0000-0000-000008000000}"/>
    <cellStyle name="Percent 2" xfId="4" xr:uid="{00000000-0005-0000-0000-00000B000000}"/>
    <cellStyle name="Pivot Table Category" xfId="5" xr:uid="{00000000-0005-0000-0000-00000C000000}"/>
    <cellStyle name="Pivot Table Corner" xfId="6" xr:uid="{00000000-0005-0000-0000-00000D000000}"/>
    <cellStyle name="Pivot Table Field" xfId="7" xr:uid="{00000000-0005-0000-0000-00000E000000}"/>
    <cellStyle name="Pivot Table Value" xfId="8" xr:uid="{00000000-0005-0000-0000-00000F000000}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1FFFA"/>
      <rgbColor rgb="FF9C0006"/>
      <rgbColor rgb="FF006100"/>
      <rgbColor rgb="FF000080"/>
      <rgbColor rgb="FF808000"/>
      <rgbColor rgb="FF800080"/>
      <rgbColor rgb="FF0B76A0"/>
      <rgbColor rgb="FFBFBFBF"/>
      <rgbColor rgb="FF8B8B8B"/>
      <rgbColor rgb="FF83CBEB"/>
      <rgbColor rgb="FF993366"/>
      <rgbColor rgb="FFFDEADA"/>
      <rgbColor rgb="FFDCEAF7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156082"/>
      <rgbColor rgb="FF0000FF"/>
      <rgbColor rgb="FF00CCFF"/>
      <rgbColor rgb="FFD9D9D9"/>
      <rgbColor rgb="FFC6EFCE"/>
      <rgbColor rgb="FFFBE3D6"/>
      <rgbColor rgb="FF96DCF8"/>
      <rgbColor rgb="FFF2AA84"/>
      <rgbColor rgb="FFEC79FF"/>
      <rgbColor rgb="FFFFC7CE"/>
      <rgbColor rgb="FF3366FF"/>
      <rgbColor rgb="FF33CCCC"/>
      <rgbColor rgb="FF8ED973"/>
      <rgbColor rgb="FFFFCC00"/>
      <rgbColor rgb="FFFF9831"/>
      <rgbColor rgb="FFE97132"/>
      <rgbColor rgb="FF595959"/>
      <rgbColor rgb="FF969696"/>
      <rgbColor rgb="FF003366"/>
      <rgbColor rgb="FF196B24"/>
      <rgbColor rgb="FF003300"/>
      <rgbColor rgb="FF333300"/>
      <rgbColor rgb="FFC04F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Aptos Narrow"/>
              </a:rPr>
              <a:t>Bench Scale DW - 05_28_2024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725182842060704E-2"/>
          <c:y val="0.11848066589400499"/>
          <c:w val="0.835835029113695"/>
          <c:h val="0.72131492993362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'05_28_2020'!$K$49:$K$49</c:f>
              <c:strCache>
                <c:ptCount val="1"/>
                <c:pt idx="0">
                  <c:v>TSS (g TSS/L)</c:v>
                </c:pt>
              </c:strCache>
            </c:strRef>
          </c:tx>
          <c:spPr>
            <a:ln w="28440" cap="rnd">
              <a:solidFill>
                <a:srgbClr val="0B76A0"/>
              </a:solidFill>
              <a:round/>
            </a:ln>
          </c:spPr>
          <c:marker>
            <c:symbol val="circle"/>
            <c:size val="5"/>
            <c:spPr>
              <a:solidFill>
                <a:srgbClr val="0B76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'05_28_2020'!$I$33:$I$38</c:f>
              <c:numCache>
                <c:formatCode>0.00</c:formatCode>
                <c:ptCount val="6"/>
                <c:pt idx="0">
                  <c:v>17.01308560441484</c:v>
                </c:pt>
                <c:pt idx="1">
                  <c:v>18.736554961438362</c:v>
                </c:pt>
                <c:pt idx="2">
                  <c:v>21.415013228658076</c:v>
                </c:pt>
                <c:pt idx="3">
                  <c:v>23.899659713224764</c:v>
                </c:pt>
                <c:pt idx="4">
                  <c:v>26.603128665134808</c:v>
                </c:pt>
                <c:pt idx="5">
                  <c:v>29.139709765458161</c:v>
                </c:pt>
              </c:numCache>
            </c:numRef>
          </c:xVal>
          <c:yVal>
            <c:numRef>
              <c:f>'05_28_2020'!$K$50:$K$55</c:f>
              <c:numCache>
                <c:formatCode>0.00</c:formatCode>
                <c:ptCount val="6"/>
                <c:pt idx="0">
                  <c:v>1.1900000000000022</c:v>
                </c:pt>
                <c:pt idx="1">
                  <c:v>1.1450000000000071</c:v>
                </c:pt>
                <c:pt idx="2">
                  <c:v>0.98499999999999144</c:v>
                </c:pt>
                <c:pt idx="3">
                  <c:v>0.70500000000001117</c:v>
                </c:pt>
                <c:pt idx="4">
                  <c:v>0.80999999999999961</c:v>
                </c:pt>
                <c:pt idx="5">
                  <c:v>0.4249999999999976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1-4B99-9E46-B40A84B6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4606"/>
        <c:axId val="29710119"/>
      </c:scatterChart>
      <c:scatterChart>
        <c:scatterStyle val="lineMarker"/>
        <c:varyColors val="0"/>
        <c:ser>
          <c:idx val="1"/>
          <c:order val="1"/>
          <c:tx>
            <c:strRef>
              <c:f>'05_28_2020'!$J$60:$J$60</c:f>
              <c:strCache>
                <c:ptCount val="1"/>
                <c:pt idx="0">
                  <c:v>TS (%)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'05_28_2020'!$I$33:$I$38</c:f>
              <c:numCache>
                <c:formatCode>0.00</c:formatCode>
                <c:ptCount val="6"/>
                <c:pt idx="0">
                  <c:v>17.01308560441484</c:v>
                </c:pt>
                <c:pt idx="1">
                  <c:v>18.736554961438362</c:v>
                </c:pt>
                <c:pt idx="2">
                  <c:v>21.415013228658076</c:v>
                </c:pt>
                <c:pt idx="3">
                  <c:v>23.899659713224764</c:v>
                </c:pt>
                <c:pt idx="4">
                  <c:v>26.603128665134808</c:v>
                </c:pt>
                <c:pt idx="5">
                  <c:v>29.139709765458161</c:v>
                </c:pt>
              </c:numCache>
            </c:numRef>
          </c:xVal>
          <c:yVal>
            <c:numRef>
              <c:f>'05_28_2020'!$J$61:$J$66</c:f>
              <c:numCache>
                <c:formatCode>0.00</c:formatCode>
                <c:ptCount val="6"/>
                <c:pt idx="0">
                  <c:v>29.598898678557379</c:v>
                </c:pt>
                <c:pt idx="1">
                  <c:v>28.355577540132838</c:v>
                </c:pt>
                <c:pt idx="2">
                  <c:v>28.688697895766396</c:v>
                </c:pt>
                <c:pt idx="3">
                  <c:v>29.747240591983005</c:v>
                </c:pt>
                <c:pt idx="4">
                  <c:v>26.087428899711739</c:v>
                </c:pt>
                <c:pt idx="5">
                  <c:v>29.540313345138038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1-4B99-9E46-B40A84B6F090}"/>
            </c:ext>
          </c:extLst>
        </c:ser>
        <c:ser>
          <c:idx val="2"/>
          <c:order val="2"/>
          <c:tx>
            <c:strRef>
              <c:f>'05_28_2020'!$B$40:$B$40</c:f>
              <c:strCache>
                <c:ptCount val="1"/>
                <c:pt idx="0">
                  <c:v>CST  Sludge (Avrg)</c:v>
                </c:pt>
              </c:strCache>
            </c:strRef>
          </c:tx>
          <c:spPr>
            <a:ln w="1908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'05_28_2020'!$I$33:$I$38</c:f>
              <c:numCache>
                <c:formatCode>0.00</c:formatCode>
                <c:ptCount val="6"/>
                <c:pt idx="0">
                  <c:v>17.01308560441484</c:v>
                </c:pt>
                <c:pt idx="1">
                  <c:v>18.736554961438362</c:v>
                </c:pt>
                <c:pt idx="2">
                  <c:v>21.415013228658076</c:v>
                </c:pt>
                <c:pt idx="3">
                  <c:v>23.899659713224764</c:v>
                </c:pt>
                <c:pt idx="4">
                  <c:v>26.603128665134808</c:v>
                </c:pt>
                <c:pt idx="5">
                  <c:v>29.139709765458161</c:v>
                </c:pt>
              </c:numCache>
            </c:numRef>
          </c:xVal>
          <c:yVal>
            <c:numRef>
              <c:f>'05_28_2020'!$B$41:$B$46</c:f>
              <c:numCache>
                <c:formatCode>0.00</c:formatCode>
                <c:ptCount val="6"/>
                <c:pt idx="0">
                  <c:v>121.6</c:v>
                </c:pt>
                <c:pt idx="1">
                  <c:v>114.43333333333334</c:v>
                </c:pt>
                <c:pt idx="2">
                  <c:v>55.6</c:v>
                </c:pt>
                <c:pt idx="3">
                  <c:v>49.2</c:v>
                </c:pt>
                <c:pt idx="4">
                  <c:v>40.549999999999997</c:v>
                </c:pt>
                <c:pt idx="5">
                  <c:v>39.833333333333336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1-4B99-9E46-B40A84B6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5992"/>
        <c:axId val="36738082"/>
      </c:scatterChart>
      <c:valAx>
        <c:axId val="78684606"/>
        <c:scaling>
          <c:orientation val="minMax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Actual Polymer Added (lb/ton)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29710119"/>
        <c:crosses val="autoZero"/>
        <c:crossBetween val="midCat"/>
      </c:valAx>
      <c:valAx>
        <c:axId val="297101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TSS (g TSS/L)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78684606"/>
        <c:crosses val="autoZero"/>
        <c:crossBetween val="midCat"/>
      </c:valAx>
      <c:valAx>
        <c:axId val="754859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6738082"/>
        <c:crosses val="autoZero"/>
        <c:crossBetween val="midCat"/>
      </c:valAx>
      <c:valAx>
        <c:axId val="36738082"/>
        <c:scaling>
          <c:orientation val="minMax"/>
          <c:min val="16"/>
        </c:scaling>
        <c:delete val="0"/>
        <c:axPos val="r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CST (s) &amp; Cake TS n(%)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75485992"/>
        <c:crosses val="max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0515875809997101"/>
          <c:y val="0.95021119709812496"/>
          <c:w val="0.34972996804746997"/>
          <c:h val="4.9788802901874603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000000"/>
                </a:solidFill>
                <a:latin typeface="Aptos Narrow"/>
              </a:rPr>
              <a:t>last 4 weeks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'05_28_2020'!$H$2:$H$2</c:f>
              <c:strCache>
                <c:ptCount val="1"/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'05_28_2020'!$B$107:$B$110</c:f>
              <c:numCache>
                <c:formatCode>General</c:formatCode>
                <c:ptCount val="4"/>
              </c:numCache>
            </c:numRef>
          </c:cat>
          <c:val>
            <c:numRef>
              <c:f>'05_28_2020'!$H$107:$H$110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25C-4F20-874F-9C41E082272F}"/>
            </c:ext>
          </c:extLst>
        </c:ser>
        <c:ser>
          <c:idx val="1"/>
          <c:order val="1"/>
          <c:tx>
            <c:strRef>
              <c:f>'05_28_2020'!$K$2:$K$2</c:f>
              <c:strCache>
                <c:ptCount val="1"/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'05_28_2020'!$B$107:$B$110</c:f>
              <c:numCache>
                <c:formatCode>General</c:formatCode>
                <c:ptCount val="4"/>
              </c:numCache>
            </c:numRef>
          </c:cat>
          <c:val>
            <c:numRef>
              <c:f>'05_28_2020'!$K$107:$K$110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25C-4F20-874F-9C41E082272F}"/>
            </c:ext>
          </c:extLst>
        </c:ser>
        <c:ser>
          <c:idx val="2"/>
          <c:order val="2"/>
          <c:tx>
            <c:strRef>
              <c:f>'05_28_2020'!$E$2:$E$2</c:f>
              <c:strCache>
                <c:ptCount val="1"/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'05_28_2020'!$B$107:$B$110</c:f>
              <c:numCache>
                <c:formatCode>General</c:formatCode>
                <c:ptCount val="4"/>
              </c:numCache>
            </c:numRef>
          </c:cat>
          <c:val>
            <c:numRef>
              <c:f>'05_28_2020'!$E$107:$E$110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25C-4F20-874F-9C41E0822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31042"/>
        <c:axId val="20938087"/>
      </c:barChart>
      <c:catAx>
        <c:axId val="761310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20938087"/>
        <c:crosses val="autoZero"/>
        <c:auto val="1"/>
        <c:lblAlgn val="ctr"/>
        <c:lblOffset val="100"/>
        <c:noMultiLvlLbl val="0"/>
      </c:catAx>
      <c:valAx>
        <c:axId val="20938087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6131042"/>
        <c:crosses val="autoZero"/>
        <c:crossBetween val="between"/>
      </c:valAx>
      <c:spPr>
        <a:noFill/>
        <a:ln w="2556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Aptos Narrow"/>
              </a:rPr>
              <a:t>Bench Scale DW - 05_21_2024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718465594964705E-2"/>
          <c:y val="0.118476430976431"/>
          <c:w val="0.835821212894446"/>
          <c:h val="0.721327861952862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'05_21_2020'!$K$49:$K$49</c:f>
              <c:strCache>
                <c:ptCount val="1"/>
                <c:pt idx="0">
                  <c:v>TSS (g TSS/L)</c:v>
                </c:pt>
              </c:strCache>
            </c:strRef>
          </c:tx>
          <c:spPr>
            <a:ln w="28440" cap="rnd">
              <a:solidFill>
                <a:srgbClr val="0B76A0"/>
              </a:solidFill>
              <a:round/>
            </a:ln>
          </c:spPr>
          <c:marker>
            <c:symbol val="circle"/>
            <c:size val="5"/>
            <c:spPr>
              <a:solidFill>
                <a:srgbClr val="0B76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'05_21_2020'!$I$33:$I$38</c:f>
              <c:numCache>
                <c:formatCode>0.00</c:formatCode>
                <c:ptCount val="6"/>
                <c:pt idx="0">
                  <c:v>20.007722912874286</c:v>
                </c:pt>
                <c:pt idx="1">
                  <c:v>23.620471108633257</c:v>
                </c:pt>
                <c:pt idx="2">
                  <c:v>27.258618248517067</c:v>
                </c:pt>
                <c:pt idx="3">
                  <c:v>29.38051419007007</c:v>
                </c:pt>
                <c:pt idx="4">
                  <c:v>32.741633515543377</c:v>
                </c:pt>
                <c:pt idx="5">
                  <c:v>34.901150296083991</c:v>
                </c:pt>
              </c:numCache>
            </c:numRef>
          </c:xVal>
          <c:yVal>
            <c:numRef>
              <c:f>'05_21_2020'!$K$50:$K$55</c:f>
              <c:numCache>
                <c:formatCode>0.00</c:formatCode>
                <c:ptCount val="6"/>
                <c:pt idx="0">
                  <c:v>1.0400000000000076</c:v>
                </c:pt>
                <c:pt idx="1">
                  <c:v>0.83499999999999686</c:v>
                </c:pt>
                <c:pt idx="2">
                  <c:v>0.75999999999999401</c:v>
                </c:pt>
                <c:pt idx="3">
                  <c:v>0.39500000000000091</c:v>
                </c:pt>
                <c:pt idx="4">
                  <c:v>0.33499999999999641</c:v>
                </c:pt>
                <c:pt idx="5">
                  <c:v>0.38500000000000201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4-4E36-B224-83958BF0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4369"/>
        <c:axId val="82017123"/>
      </c:scatterChart>
      <c:scatterChart>
        <c:scatterStyle val="lineMarker"/>
        <c:varyColors val="0"/>
        <c:ser>
          <c:idx val="1"/>
          <c:order val="1"/>
          <c:tx>
            <c:strRef>
              <c:f>'05_21_2020'!$J$60:$J$60</c:f>
              <c:strCache>
                <c:ptCount val="1"/>
                <c:pt idx="0">
                  <c:v>TS (%)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'05_21_2020'!$I$33:$I$38</c:f>
              <c:numCache>
                <c:formatCode>0.00</c:formatCode>
                <c:ptCount val="6"/>
                <c:pt idx="0">
                  <c:v>20.007722912874286</c:v>
                </c:pt>
                <c:pt idx="1">
                  <c:v>23.620471108633257</c:v>
                </c:pt>
                <c:pt idx="2">
                  <c:v>27.258618248517067</c:v>
                </c:pt>
                <c:pt idx="3">
                  <c:v>29.38051419007007</c:v>
                </c:pt>
                <c:pt idx="4">
                  <c:v>32.741633515543377</c:v>
                </c:pt>
                <c:pt idx="5">
                  <c:v>34.901150296083991</c:v>
                </c:pt>
              </c:numCache>
            </c:numRef>
          </c:xVal>
          <c:yVal>
            <c:numRef>
              <c:f>'05_21_2020'!$J$61:$J$66</c:f>
              <c:numCache>
                <c:formatCode>0.00</c:formatCode>
                <c:ptCount val="6"/>
                <c:pt idx="0">
                  <c:v>30.044321031900687</c:v>
                </c:pt>
                <c:pt idx="1">
                  <c:v>32.889427083420557</c:v>
                </c:pt>
                <c:pt idx="2">
                  <c:v>30.413500298124472</c:v>
                </c:pt>
                <c:pt idx="3">
                  <c:v>30.476847357057935</c:v>
                </c:pt>
                <c:pt idx="4">
                  <c:v>29.734925689014489</c:v>
                </c:pt>
                <c:pt idx="5">
                  <c:v>29.920060485784063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4-4E36-B224-83958BF03FF0}"/>
            </c:ext>
          </c:extLst>
        </c:ser>
        <c:ser>
          <c:idx val="2"/>
          <c:order val="2"/>
          <c:tx>
            <c:strRef>
              <c:f>'05_21_2020'!$B$40:$B$40</c:f>
              <c:strCache>
                <c:ptCount val="1"/>
                <c:pt idx="0">
                  <c:v>CST  Sludge (Avrg)</c:v>
                </c:pt>
              </c:strCache>
            </c:strRef>
          </c:tx>
          <c:spPr>
            <a:ln w="1908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'05_21_2020'!$I$33:$I$38</c:f>
              <c:numCache>
                <c:formatCode>0.00</c:formatCode>
                <c:ptCount val="6"/>
                <c:pt idx="0">
                  <c:v>20.007722912874286</c:v>
                </c:pt>
                <c:pt idx="1">
                  <c:v>23.620471108633257</c:v>
                </c:pt>
                <c:pt idx="2">
                  <c:v>27.258618248517067</c:v>
                </c:pt>
                <c:pt idx="3">
                  <c:v>29.38051419007007</c:v>
                </c:pt>
                <c:pt idx="4">
                  <c:v>32.741633515543377</c:v>
                </c:pt>
                <c:pt idx="5">
                  <c:v>34.901150296083991</c:v>
                </c:pt>
              </c:numCache>
            </c:numRef>
          </c:xVal>
          <c:yVal>
            <c:numRef>
              <c:f>'05_21_2020'!$B$41:$B$46</c:f>
              <c:numCache>
                <c:formatCode>0.00</c:formatCode>
                <c:ptCount val="6"/>
                <c:pt idx="0">
                  <c:v>73.233333333333334</c:v>
                </c:pt>
                <c:pt idx="1">
                  <c:v>48</c:v>
                </c:pt>
                <c:pt idx="2">
                  <c:v>46.833333333333336</c:v>
                </c:pt>
                <c:pt idx="3">
                  <c:v>37.733333333333334</c:v>
                </c:pt>
                <c:pt idx="4">
                  <c:v>28.233333333333334</c:v>
                </c:pt>
                <c:pt idx="5">
                  <c:v>28.599999999999998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4-4E36-B224-83958BF0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931"/>
        <c:axId val="27187249"/>
      </c:scatterChart>
      <c:valAx>
        <c:axId val="57714369"/>
        <c:scaling>
          <c:orientation val="minMax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Actual Polymer Added (lb/ton)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82017123"/>
        <c:crosses val="autoZero"/>
        <c:crossBetween val="midCat"/>
      </c:valAx>
      <c:valAx>
        <c:axId val="8201712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TSS (g TSS/L)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57714369"/>
        <c:crosses val="autoZero"/>
        <c:crossBetween val="midCat"/>
      </c:valAx>
      <c:valAx>
        <c:axId val="516093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7187249"/>
        <c:crosses val="autoZero"/>
        <c:crossBetween val="midCat"/>
      </c:valAx>
      <c:valAx>
        <c:axId val="27187249"/>
        <c:scaling>
          <c:orientation val="minMax"/>
          <c:min val="16"/>
        </c:scaling>
        <c:delete val="0"/>
        <c:axPos val="r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CST (s) &amp; Cake TS n(%)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5160931"/>
        <c:crosses val="max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0515875809997101"/>
          <c:y val="0.95021119709812496"/>
          <c:w val="0.34972996804746997"/>
          <c:h val="4.9788802901874603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000000"/>
                </a:solidFill>
                <a:latin typeface="Aptos Narrow"/>
              </a:rPr>
              <a:t>last 4 weeks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'05_28_2020'!$H$2:$H$2</c:f>
              <c:strCache>
                <c:ptCount val="1"/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'05_28_2020'!$B$106:$B$109</c:f>
              <c:numCache>
                <c:formatCode>General</c:formatCode>
                <c:ptCount val="4"/>
              </c:numCache>
            </c:numRef>
          </c:cat>
          <c:val>
            <c:numRef>
              <c:f>'05_28_2020'!$H$106:$H$109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242-4B32-8CFA-4060DE7AC352}"/>
            </c:ext>
          </c:extLst>
        </c:ser>
        <c:ser>
          <c:idx val="1"/>
          <c:order val="1"/>
          <c:tx>
            <c:strRef>
              <c:f>'05_28_2020'!$K$2:$K$2</c:f>
              <c:strCache>
                <c:ptCount val="1"/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'05_28_2020'!$B$106:$B$109</c:f>
              <c:numCache>
                <c:formatCode>General</c:formatCode>
                <c:ptCount val="4"/>
              </c:numCache>
            </c:numRef>
          </c:cat>
          <c:val>
            <c:numRef>
              <c:f>'05_28_2020'!$K$106:$K$109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242-4B32-8CFA-4060DE7AC352}"/>
            </c:ext>
          </c:extLst>
        </c:ser>
        <c:ser>
          <c:idx val="2"/>
          <c:order val="2"/>
          <c:tx>
            <c:strRef>
              <c:f>'05_28_2020'!$E$2:$E$2</c:f>
              <c:strCache>
                <c:ptCount val="1"/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'05_28_2020'!$B$106:$B$109</c:f>
              <c:numCache>
                <c:formatCode>General</c:formatCode>
                <c:ptCount val="4"/>
              </c:numCache>
            </c:numRef>
          </c:cat>
          <c:val>
            <c:numRef>
              <c:f>'05_28_2020'!$E$106:$E$109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242-4B32-8CFA-4060DE7A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9066"/>
        <c:axId val="12365379"/>
      </c:barChart>
      <c:catAx>
        <c:axId val="88190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12365379"/>
        <c:crosses val="autoZero"/>
        <c:auto val="1"/>
        <c:lblAlgn val="ctr"/>
        <c:lblOffset val="100"/>
        <c:noMultiLvlLbl val="0"/>
      </c:catAx>
      <c:valAx>
        <c:axId val="12365379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819066"/>
        <c:crosses val="autoZero"/>
        <c:crossBetween val="between"/>
      </c:valAx>
      <c:spPr>
        <a:noFill/>
        <a:ln w="2556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349560</xdr:colOff>
      <xdr:row>25</xdr:row>
      <xdr:rowOff>6840</xdr:rowOff>
    </xdr:from>
    <xdr:to>
      <xdr:col>31</xdr:col>
      <xdr:colOff>744120</xdr:colOff>
      <xdr:row>33</xdr:row>
      <xdr:rowOff>139680</xdr:rowOff>
    </xdr:to>
    <xdr:sp macro="" textlink="">
      <xdr:nvSpPr>
        <xdr:cNvPr id="3" name="Rectangl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161760" y="5580720"/>
          <a:ext cx="394560" cy="241596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507960</xdr:colOff>
      <xdr:row>8</xdr:row>
      <xdr:rowOff>139680</xdr:rowOff>
    </xdr:from>
    <xdr:to>
      <xdr:col>37</xdr:col>
      <xdr:colOff>455040</xdr:colOff>
      <xdr:row>37</xdr:row>
      <xdr:rowOff>181440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70920</xdr:colOff>
      <xdr:row>27</xdr:row>
      <xdr:rowOff>21240</xdr:rowOff>
    </xdr:from>
    <xdr:to>
      <xdr:col>32</xdr:col>
      <xdr:colOff>756360</xdr:colOff>
      <xdr:row>28</xdr:row>
      <xdr:rowOff>60840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820920" y="6004800"/>
          <a:ext cx="685440" cy="2397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OPD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282960</xdr:colOff>
      <xdr:row>29</xdr:row>
      <xdr:rowOff>52920</xdr:rowOff>
    </xdr:from>
    <xdr:to>
      <xdr:col>32</xdr:col>
      <xdr:colOff>577440</xdr:colOff>
      <xdr:row>31</xdr:row>
      <xdr:rowOff>429480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3032960" y="6436440"/>
          <a:ext cx="294480" cy="7970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29</xdr:col>
      <xdr:colOff>105120</xdr:colOff>
      <xdr:row>29</xdr:row>
      <xdr:rowOff>143640</xdr:rowOff>
    </xdr:from>
    <xdr:to>
      <xdr:col>29</xdr:col>
      <xdr:colOff>670320</xdr:colOff>
      <xdr:row>31</xdr:row>
      <xdr:rowOff>19800</xdr:rowOff>
    </xdr:to>
    <xdr:sp macro="" textlink="">
      <xdr:nvSpPr>
        <xdr:cNvPr id="7" name="Text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0041720" y="6527160"/>
          <a:ext cx="565200" cy="2966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EPD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188280</xdr:colOff>
      <xdr:row>31</xdr:row>
      <xdr:rowOff>33480</xdr:rowOff>
    </xdr:from>
    <xdr:to>
      <xdr:col>29</xdr:col>
      <xdr:colOff>482760</xdr:colOff>
      <xdr:row>31</xdr:row>
      <xdr:rowOff>825480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0124880" y="6837480"/>
          <a:ext cx="294480" cy="79200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29</xdr:col>
      <xdr:colOff>179280</xdr:colOff>
      <xdr:row>44</xdr:row>
      <xdr:rowOff>73080</xdr:rowOff>
    </xdr:from>
    <xdr:to>
      <xdr:col>37</xdr:col>
      <xdr:colOff>748440</xdr:colOff>
      <xdr:row>57</xdr:row>
      <xdr:rowOff>104760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349560</xdr:colOff>
      <xdr:row>25</xdr:row>
      <xdr:rowOff>68760</xdr:rowOff>
    </xdr:from>
    <xdr:to>
      <xdr:col>30</xdr:col>
      <xdr:colOff>744120</xdr:colOff>
      <xdr:row>34</xdr:row>
      <xdr:rowOff>20880</xdr:rowOff>
    </xdr:to>
    <xdr:sp macro="" textlink="">
      <xdr:nvSpPr>
        <xdr:cNvPr id="9" name="Rectangle 1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1223960" y="5590080"/>
          <a:ext cx="394560" cy="24350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507960</xdr:colOff>
      <xdr:row>8</xdr:row>
      <xdr:rowOff>168480</xdr:rowOff>
    </xdr:from>
    <xdr:to>
      <xdr:col>36</xdr:col>
      <xdr:colOff>455040</xdr:colOff>
      <xdr:row>38</xdr:row>
      <xdr:rowOff>72360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1335240</xdr:colOff>
      <xdr:row>17</xdr:row>
      <xdr:rowOff>86400</xdr:rowOff>
    </xdr:from>
    <xdr:to>
      <xdr:col>26</xdr:col>
      <xdr:colOff>285120</xdr:colOff>
      <xdr:row>32</xdr:row>
      <xdr:rowOff>139680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6754200" y="3943440"/>
          <a:ext cx="653760" cy="380052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32</xdr:col>
      <xdr:colOff>478080</xdr:colOff>
      <xdr:row>26</xdr:row>
      <xdr:rowOff>82800</xdr:rowOff>
    </xdr:from>
    <xdr:to>
      <xdr:col>33</xdr:col>
      <xdr:colOff>339120</xdr:colOff>
      <xdr:row>27</xdr:row>
      <xdr:rowOff>132480</xdr:rowOff>
    </xdr:to>
    <xdr:sp macro="" textlink="">
      <xdr:nvSpPr>
        <xdr:cNvPr id="12" name="TextBox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3228080" y="5813640"/>
          <a:ext cx="799200" cy="2498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OPD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647640</xdr:colOff>
      <xdr:row>31</xdr:row>
      <xdr:rowOff>97200</xdr:rowOff>
    </xdr:from>
    <xdr:to>
      <xdr:col>33</xdr:col>
      <xdr:colOff>161280</xdr:colOff>
      <xdr:row>32</xdr:row>
      <xdr:rowOff>72000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3397640" y="6848640"/>
          <a:ext cx="451800" cy="8276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25</xdr:col>
      <xdr:colOff>1263600</xdr:colOff>
      <xdr:row>15</xdr:row>
      <xdr:rowOff>114120</xdr:rowOff>
    </xdr:from>
    <xdr:to>
      <xdr:col>26</xdr:col>
      <xdr:colOff>324720</xdr:colOff>
      <xdr:row>17</xdr:row>
      <xdr:rowOff>15480</xdr:rowOff>
    </xdr:to>
    <xdr:sp macro="" textlink="">
      <xdr:nvSpPr>
        <xdr:cNvPr id="14" name="TextBox 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6682560" y="3571200"/>
          <a:ext cx="765000" cy="30132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EPD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300240</xdr:colOff>
      <xdr:row>45</xdr:row>
      <xdr:rowOff>172440</xdr:rowOff>
    </xdr:from>
    <xdr:to>
      <xdr:col>36</xdr:col>
      <xdr:colOff>368640</xdr:colOff>
      <xdr:row>57</xdr:row>
      <xdr:rowOff>177480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76"/>
  <sheetViews>
    <sheetView tabSelected="1" zoomScaleNormal="100" workbookViewId="0">
      <selection activeCell="B13" sqref="B13"/>
    </sheetView>
  </sheetViews>
  <sheetFormatPr defaultColWidth="8.6640625" defaultRowHeight="15.6" outlineLevelRow="2" x14ac:dyDescent="0.3"/>
  <cols>
    <col min="1" max="1" width="39.44140625" style="2" customWidth="1"/>
    <col min="2" max="2" width="26.33203125" style="2" customWidth="1"/>
    <col min="3" max="3" width="32.33203125" style="2" customWidth="1"/>
    <col min="4" max="4" width="22.33203125" style="2" customWidth="1"/>
    <col min="5" max="5" width="23.21875" style="2" customWidth="1"/>
    <col min="6" max="6" width="25.6640625" style="2" customWidth="1"/>
    <col min="7" max="8" width="16.6640625" style="2" customWidth="1"/>
    <col min="9" max="9" width="18.44140625" style="2" customWidth="1"/>
    <col min="10" max="10" width="15.6640625" style="2" customWidth="1"/>
    <col min="11" max="11" width="16.44140625" style="2" customWidth="1"/>
    <col min="12" max="12" width="16.6640625" style="2" customWidth="1"/>
    <col min="13" max="13" width="17.33203125" style="2" customWidth="1"/>
    <col min="14" max="14" width="10.33203125" style="2" customWidth="1"/>
    <col min="15" max="15" width="11" style="2" customWidth="1"/>
    <col min="16" max="16" width="18.6640625" style="2" customWidth="1"/>
    <col min="17" max="17" width="11" style="2" customWidth="1"/>
    <col min="18" max="21" width="11.6640625" style="2" customWidth="1"/>
    <col min="22" max="22" width="22.33203125" style="2" customWidth="1"/>
    <col min="23" max="25" width="11.6640625" style="2" customWidth="1"/>
    <col min="26" max="26" width="21.33203125" style="2" customWidth="1"/>
    <col min="27" max="35" width="11.6640625" style="2" customWidth="1"/>
    <col min="36" max="36" width="13.33203125" style="2" customWidth="1"/>
    <col min="37" max="37" width="14.6640625" style="2" customWidth="1"/>
    <col min="38" max="38" width="11.6640625" style="2" customWidth="1"/>
    <col min="39" max="39" width="9.44140625" style="2" customWidth="1"/>
    <col min="40" max="40" width="8.33203125" style="2" customWidth="1"/>
    <col min="41" max="41" width="7.44140625" style="2" customWidth="1"/>
    <col min="42" max="43" width="9.33203125" style="2" customWidth="1"/>
    <col min="44" max="44" width="8.44140625" style="2" customWidth="1"/>
    <col min="45" max="64" width="9.33203125" style="2" customWidth="1"/>
    <col min="65" max="16384" width="8.6640625" style="2"/>
  </cols>
  <sheetData>
    <row r="1" spans="1:58" x14ac:dyDescent="0.3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</row>
    <row r="2" spans="1:58" x14ac:dyDescent="0.3">
      <c r="A2" s="6"/>
      <c r="B2" s="7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x14ac:dyDescent="0.3">
      <c r="A3" s="6"/>
      <c r="B3" s="7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x14ac:dyDescent="0.3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 ht="34.5" customHeight="1" x14ac:dyDescent="0.3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85" t="s">
        <v>3</v>
      </c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x14ac:dyDescent="0.3">
      <c r="A7" s="186" t="s">
        <v>4</v>
      </c>
      <c r="B7" s="186"/>
      <c r="C7" s="186"/>
      <c r="D7" s="186"/>
      <c r="E7" s="4"/>
      <c r="F7" s="8" t="s">
        <v>5</v>
      </c>
      <c r="G7" s="9"/>
      <c r="H7" s="9"/>
      <c r="I7" s="9"/>
      <c r="J7" s="9"/>
      <c r="K7" s="4"/>
      <c r="L7" s="4"/>
      <c r="M7" s="4"/>
      <c r="N7" s="4"/>
      <c r="O7" s="4"/>
      <c r="P7" s="4"/>
      <c r="Q7" s="4"/>
      <c r="R7" s="4"/>
      <c r="S7" s="4"/>
      <c r="T7" s="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x14ac:dyDescent="0.3">
      <c r="A8" s="10" t="s">
        <v>6</v>
      </c>
      <c r="B8" s="11" t="s">
        <v>7</v>
      </c>
      <c r="C8" s="12" t="s">
        <v>8</v>
      </c>
      <c r="D8" s="13">
        <f>D10*B11*8.34*10000</f>
        <v>448.828776</v>
      </c>
      <c r="E8" s="4"/>
      <c r="F8" s="14"/>
      <c r="G8" s="15"/>
      <c r="H8" s="15"/>
      <c r="I8" s="16" t="s">
        <v>9</v>
      </c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20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x14ac:dyDescent="0.3">
      <c r="A9" s="21" t="s">
        <v>10</v>
      </c>
      <c r="B9" s="11">
        <v>0.16500000000000001</v>
      </c>
      <c r="C9" s="22" t="s">
        <v>11</v>
      </c>
      <c r="D9" s="23">
        <f>B9*B10</f>
        <v>14.949</v>
      </c>
      <c r="E9" s="4"/>
      <c r="F9" s="24"/>
      <c r="G9" s="25" t="s">
        <v>12</v>
      </c>
      <c r="H9" s="25" t="s">
        <v>13</v>
      </c>
      <c r="I9" s="25" t="s">
        <v>14</v>
      </c>
      <c r="J9" s="25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8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x14ac:dyDescent="0.3">
      <c r="A10" s="21" t="s">
        <v>16</v>
      </c>
      <c r="B10" s="29">
        <v>90.6</v>
      </c>
      <c r="C10" s="22" t="s">
        <v>17</v>
      </c>
      <c r="D10" s="23">
        <f>D9*1440/1000000</f>
        <v>2.152656E-2</v>
      </c>
      <c r="E10" s="4"/>
      <c r="F10" s="24" t="s">
        <v>18</v>
      </c>
      <c r="G10" s="30" t="s">
        <v>19</v>
      </c>
      <c r="H10" s="31">
        <f>J68</f>
        <v>3.5084598678429519</v>
      </c>
      <c r="I10" s="31"/>
      <c r="J10" s="31"/>
      <c r="K10" s="4"/>
      <c r="L10" s="4"/>
      <c r="M10" s="4"/>
      <c r="N10" s="4"/>
      <c r="O10" s="4"/>
      <c r="P10" s="4"/>
      <c r="Q10" s="4"/>
      <c r="R10" s="4"/>
      <c r="S10" s="4"/>
      <c r="T10" s="4"/>
      <c r="U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8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3">
      <c r="A11" s="21" t="s">
        <v>20</v>
      </c>
      <c r="B11" s="32">
        <v>0.25</v>
      </c>
      <c r="C11" s="22" t="s">
        <v>21</v>
      </c>
      <c r="D11" s="23">
        <f>B10*1440/1000000</f>
        <v>0.130464</v>
      </c>
      <c r="E11" s="4"/>
      <c r="F11" s="24" t="s">
        <v>22</v>
      </c>
      <c r="G11" s="30" t="s">
        <v>23</v>
      </c>
      <c r="H11" s="33">
        <f>B9</f>
        <v>0.16500000000000001</v>
      </c>
      <c r="I11" s="33">
        <f>B9</f>
        <v>0.16500000000000001</v>
      </c>
      <c r="J11" s="33">
        <f>B9</f>
        <v>0.16500000000000001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8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x14ac:dyDescent="0.3">
      <c r="A12" s="21" t="s">
        <v>24</v>
      </c>
      <c r="B12" s="34">
        <v>6.1</v>
      </c>
      <c r="C12" s="22" t="s">
        <v>25</v>
      </c>
      <c r="D12" s="23">
        <f>(B12/(1+(B15/B14)))</f>
        <v>3.7289036544850496</v>
      </c>
      <c r="E12" s="4"/>
      <c r="F12" s="24" t="s">
        <v>26</v>
      </c>
      <c r="G12" s="30" t="s">
        <v>27</v>
      </c>
      <c r="H12" s="35">
        <f>AT71</f>
        <v>21.710526315789476</v>
      </c>
      <c r="I12" s="36">
        <f>Y71</f>
        <v>26.603128665134808</v>
      </c>
      <c r="J12" s="36">
        <f>AO71</f>
        <v>23.899659713224764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8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x14ac:dyDescent="0.3">
      <c r="A13" s="21" t="s">
        <v>28</v>
      </c>
      <c r="B13" s="37">
        <v>3.8</v>
      </c>
      <c r="C13" s="22" t="s">
        <v>29</v>
      </c>
      <c r="D13" s="23">
        <f>D11*D12*8.34*(10000/2000)</f>
        <v>20.286536521993352</v>
      </c>
      <c r="E13" s="4"/>
      <c r="F13" s="24" t="s">
        <v>30</v>
      </c>
      <c r="G13" s="30" t="s">
        <v>19</v>
      </c>
      <c r="H13" s="31">
        <f>J67</f>
        <v>28.667686781903466</v>
      </c>
      <c r="I13" s="36">
        <f>Z71</f>
        <v>26.087428899711739</v>
      </c>
      <c r="J13" s="36">
        <f>AP71</f>
        <v>29.747240591983005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8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x14ac:dyDescent="0.3">
      <c r="A14" s="21" t="s">
        <v>31</v>
      </c>
      <c r="B14" s="38">
        <v>552</v>
      </c>
      <c r="C14" s="22" t="s">
        <v>32</v>
      </c>
      <c r="D14" s="23">
        <f>D8/D13</f>
        <v>22.12446543121882</v>
      </c>
      <c r="E14" s="4"/>
      <c r="F14" s="24" t="s">
        <v>33</v>
      </c>
      <c r="G14" s="30" t="s">
        <v>34</v>
      </c>
      <c r="H14" s="31">
        <f>AV71</f>
        <v>600.00000000000045</v>
      </c>
      <c r="I14" s="36">
        <f>AA71</f>
        <v>809.99999999999966</v>
      </c>
      <c r="J14" s="36">
        <f>AQ71</f>
        <v>705.00000000001114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8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ht="23.4" x14ac:dyDescent="0.45">
      <c r="A15" s="39" t="s">
        <v>35</v>
      </c>
      <c r="B15" s="40">
        <v>351</v>
      </c>
      <c r="C15" s="41" t="s">
        <v>36</v>
      </c>
      <c r="D15" s="42">
        <f>((B9*B11)/B13)*2000</f>
        <v>21.710526315789476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x14ac:dyDescent="0.3">
      <c r="A16" s="43"/>
      <c r="B16" s="4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8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ht="15.75" customHeight="1" outlineLevel="2" x14ac:dyDescent="0.3">
      <c r="A17" s="187" t="s">
        <v>37</v>
      </c>
      <c r="B17" s="187"/>
      <c r="C17" s="18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8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outlineLevel="2" x14ac:dyDescent="0.3">
      <c r="A18" s="44"/>
      <c r="B18" s="12"/>
      <c r="C18" s="4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8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outlineLevel="2" x14ac:dyDescent="0.3">
      <c r="A19" s="46" t="s">
        <v>38</v>
      </c>
      <c r="B19" s="47">
        <f>1/453.59237</f>
        <v>2.2046226218487759E-3</v>
      </c>
      <c r="C19" s="48" t="s">
        <v>39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8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outlineLevel="2" x14ac:dyDescent="0.3">
      <c r="A20" s="46" t="s">
        <v>38</v>
      </c>
      <c r="B20" s="47">
        <v>1.1023109950010101E-6</v>
      </c>
      <c r="C20" s="48" t="s">
        <v>40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8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 outlineLevel="2" x14ac:dyDescent="0.3">
      <c r="A21" s="46" t="s">
        <v>41</v>
      </c>
      <c r="B21" s="47">
        <v>3.95</v>
      </c>
      <c r="C21" s="48" t="s">
        <v>42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8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ht="17.399999999999999" outlineLevel="2" x14ac:dyDescent="0.3">
      <c r="A22" s="46" t="s">
        <v>43</v>
      </c>
      <c r="B22" s="49">
        <f>((3.95/2)*0.0254)^2 * PI()</f>
        <v>7.9059034426187096E-3</v>
      </c>
      <c r="C22" s="48" t="s">
        <v>44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8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ht="17.399999999999999" outlineLevel="2" x14ac:dyDescent="0.3">
      <c r="A23" s="188" t="s">
        <v>45</v>
      </c>
      <c r="B23" s="188"/>
      <c r="C23" s="18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8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 outlineLevel="2" x14ac:dyDescent="0.3">
      <c r="A24" s="46" t="s">
        <v>46</v>
      </c>
      <c r="B24" s="50">
        <f>B22*0.8*1000</f>
        <v>6.3247227540949682</v>
      </c>
      <c r="C24" s="48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8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 ht="16.5" customHeight="1" outlineLevel="2" x14ac:dyDescent="0.3">
      <c r="A25" s="46" t="s">
        <v>48</v>
      </c>
      <c r="B25" s="50">
        <v>3.5</v>
      </c>
      <c r="C25" s="48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8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 ht="16.5" customHeight="1" outlineLevel="2" x14ac:dyDescent="0.3">
      <c r="A26" s="188" t="s">
        <v>50</v>
      </c>
      <c r="B26" s="188"/>
      <c r="C26" s="18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8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outlineLevel="2" x14ac:dyDescent="0.3">
      <c r="A27" s="46" t="s">
        <v>51</v>
      </c>
      <c r="B27" s="50">
        <v>0.25</v>
      </c>
      <c r="C27" s="4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8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8" outlineLevel="2" x14ac:dyDescent="0.3">
      <c r="A28" s="51" t="s">
        <v>52</v>
      </c>
      <c r="B28" s="52" t="s">
        <v>53</v>
      </c>
      <c r="C28" s="53" t="s">
        <v>54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8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8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8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8" x14ac:dyDescent="0.3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8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8" ht="18" x14ac:dyDescent="0.35">
      <c r="A31" s="180" t="s">
        <v>55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54"/>
      <c r="T31" s="54"/>
      <c r="U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8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8" ht="62.4" x14ac:dyDescent="0.3">
      <c r="A32" s="55" t="s">
        <v>56</v>
      </c>
      <c r="B32" s="56" t="s">
        <v>57</v>
      </c>
      <c r="C32" s="56" t="s">
        <v>58</v>
      </c>
      <c r="D32" s="56" t="s">
        <v>59</v>
      </c>
      <c r="E32" s="56" t="s">
        <v>60</v>
      </c>
      <c r="F32" s="56" t="s">
        <v>61</v>
      </c>
      <c r="G32" s="56" t="s">
        <v>62</v>
      </c>
      <c r="H32" s="56" t="s">
        <v>63</v>
      </c>
      <c r="I32" s="56" t="s">
        <v>64</v>
      </c>
      <c r="J32" s="56" t="s">
        <v>65</v>
      </c>
      <c r="K32" s="56" t="s">
        <v>66</v>
      </c>
      <c r="L32" s="56" t="s">
        <v>67</v>
      </c>
      <c r="M32" s="56" t="s">
        <v>68</v>
      </c>
      <c r="N32" s="56" t="s">
        <v>69</v>
      </c>
      <c r="O32" s="56" t="s">
        <v>70</v>
      </c>
      <c r="P32" s="56" t="s">
        <v>71</v>
      </c>
      <c r="Q32" s="56" t="s">
        <v>72</v>
      </c>
      <c r="R32" s="57" t="s">
        <v>73</v>
      </c>
      <c r="S32" s="58"/>
      <c r="T32" s="58"/>
      <c r="U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8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x14ac:dyDescent="0.3">
      <c r="A33" s="59">
        <v>1</v>
      </c>
      <c r="B33" s="60">
        <v>17</v>
      </c>
      <c r="C33" s="60">
        <v>3.8</v>
      </c>
      <c r="D33" s="60">
        <v>504.72</v>
      </c>
      <c r="E33" s="61">
        <f t="shared" ref="E33:E38" si="0">(B33*D33*$B$20*C33)/($B$19*$B$27)</f>
        <v>65.20980531080788</v>
      </c>
      <c r="F33" s="62">
        <v>67.239999999999995</v>
      </c>
      <c r="G33" s="62">
        <v>1.98</v>
      </c>
      <c r="H33" s="63">
        <f t="shared" ref="H33:H38" si="1">F33-G33</f>
        <v>65.259999999999991</v>
      </c>
      <c r="I33" s="64">
        <f t="shared" ref="I33:I38" si="2">(H33*$B$27*$B$19)/ (D33*$B$20*C33)</f>
        <v>17.01308560441484</v>
      </c>
      <c r="J33" s="60">
        <v>206.64</v>
      </c>
      <c r="K33" s="60">
        <v>408.48</v>
      </c>
      <c r="L33" s="60">
        <v>351.96</v>
      </c>
      <c r="M33" s="60">
        <f>811.95-25</f>
        <v>786.95</v>
      </c>
      <c r="N33" s="61">
        <v>100</v>
      </c>
      <c r="O33" s="65">
        <f t="shared" ref="O33:P38" si="3">L33-J33</f>
        <v>145.32</v>
      </c>
      <c r="P33" s="61">
        <f t="shared" si="3"/>
        <v>378.47</v>
      </c>
      <c r="Q33" s="61">
        <f t="shared" ref="Q33:Q38" si="4">((O33+P33)/O33)*(D33/(D33+H33))*C33</f>
        <v>12.128478079214043</v>
      </c>
      <c r="R33" s="66">
        <f t="shared" ref="R33:R38" si="5">$B$24/Q33*100</f>
        <v>52.147703222009099</v>
      </c>
      <c r="S33" s="67"/>
      <c r="T33" s="67"/>
      <c r="U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8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x14ac:dyDescent="0.3">
      <c r="A34" s="59">
        <v>2</v>
      </c>
      <c r="B34" s="60">
        <v>19</v>
      </c>
      <c r="C34" s="60">
        <v>3.8</v>
      </c>
      <c r="D34" s="60">
        <v>503.8</v>
      </c>
      <c r="E34" s="61">
        <f t="shared" si="0"/>
        <v>72.748699150153755</v>
      </c>
      <c r="F34" s="62">
        <v>73.849999999999994</v>
      </c>
      <c r="G34" s="62">
        <v>2.11</v>
      </c>
      <c r="H34" s="68">
        <f t="shared" si="1"/>
        <v>71.739999999999995</v>
      </c>
      <c r="I34" s="64">
        <f t="shared" si="2"/>
        <v>18.736554961438362</v>
      </c>
      <c r="J34" s="60">
        <v>205.76</v>
      </c>
      <c r="K34" s="60">
        <v>407.97</v>
      </c>
      <c r="L34" s="60">
        <v>353.89</v>
      </c>
      <c r="M34" s="60">
        <f>820.38-25</f>
        <v>795.38</v>
      </c>
      <c r="N34" s="61">
        <v>100</v>
      </c>
      <c r="O34" s="65">
        <f t="shared" si="3"/>
        <v>148.13</v>
      </c>
      <c r="P34" s="61">
        <f t="shared" si="3"/>
        <v>387.40999999999997</v>
      </c>
      <c r="Q34" s="61">
        <f t="shared" si="4"/>
        <v>12.02583217302444</v>
      </c>
      <c r="R34" s="66">
        <f t="shared" si="5"/>
        <v>52.592807409055418</v>
      </c>
      <c r="S34" s="67"/>
      <c r="T34" s="67"/>
      <c r="U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8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x14ac:dyDescent="0.3">
      <c r="A35" s="59">
        <v>3</v>
      </c>
      <c r="B35" s="69">
        <v>21.5</v>
      </c>
      <c r="C35" s="60">
        <v>3.8</v>
      </c>
      <c r="D35" s="60">
        <v>501.37</v>
      </c>
      <c r="E35" s="61">
        <f t="shared" si="0"/>
        <v>81.923834520551239</v>
      </c>
      <c r="F35" s="62">
        <v>83.5</v>
      </c>
      <c r="G35" s="62">
        <v>1.9</v>
      </c>
      <c r="H35" s="68">
        <f t="shared" si="1"/>
        <v>81.599999999999994</v>
      </c>
      <c r="I35" s="64">
        <f t="shared" si="2"/>
        <v>21.415013228658076</v>
      </c>
      <c r="J35" s="60">
        <v>159.38</v>
      </c>
      <c r="K35" s="60">
        <v>412.95</v>
      </c>
      <c r="L35" s="60">
        <v>301.77999999999997</v>
      </c>
      <c r="M35" s="60">
        <v>785.76</v>
      </c>
      <c r="N35" s="61">
        <v>100</v>
      </c>
      <c r="O35" s="65">
        <f t="shared" si="3"/>
        <v>142.39999999999998</v>
      </c>
      <c r="P35" s="61">
        <f t="shared" si="3"/>
        <v>372.81</v>
      </c>
      <c r="Q35" s="61">
        <f t="shared" si="4"/>
        <v>11.824152678419477</v>
      </c>
      <c r="R35" s="66">
        <f t="shared" si="5"/>
        <v>53.489860340169315</v>
      </c>
      <c r="S35" s="67"/>
      <c r="T35" s="67"/>
      <c r="U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8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x14ac:dyDescent="0.3">
      <c r="A36" s="59">
        <v>4</v>
      </c>
      <c r="B36" s="60">
        <v>24</v>
      </c>
      <c r="C36" s="60">
        <v>3.8</v>
      </c>
      <c r="D36" s="60">
        <v>502.76</v>
      </c>
      <c r="E36" s="61">
        <f t="shared" si="0"/>
        <v>91.703397717719128</v>
      </c>
      <c r="F36" s="62">
        <v>92.92</v>
      </c>
      <c r="G36" s="62">
        <v>1.6</v>
      </c>
      <c r="H36" s="68">
        <f t="shared" si="1"/>
        <v>91.320000000000007</v>
      </c>
      <c r="I36" s="64">
        <f t="shared" si="2"/>
        <v>23.899659713224764</v>
      </c>
      <c r="J36" s="60">
        <v>401.68</v>
      </c>
      <c r="K36" s="60">
        <v>399.01</v>
      </c>
      <c r="L36" s="60">
        <v>540.86</v>
      </c>
      <c r="M36" s="60">
        <v>759.18</v>
      </c>
      <c r="N36" s="61">
        <v>100</v>
      </c>
      <c r="O36" s="65">
        <f t="shared" si="3"/>
        <v>139.18</v>
      </c>
      <c r="P36" s="61">
        <f t="shared" si="3"/>
        <v>360.16999999999996</v>
      </c>
      <c r="Q36" s="61">
        <f t="shared" si="4"/>
        <v>11.537922151045363</v>
      </c>
      <c r="R36" s="66">
        <f t="shared" si="5"/>
        <v>54.816826386039828</v>
      </c>
      <c r="S36" s="67"/>
      <c r="T36" s="67"/>
      <c r="U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8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3">
      <c r="A37" s="59">
        <v>5</v>
      </c>
      <c r="B37" s="60">
        <v>26.5</v>
      </c>
      <c r="C37" s="60">
        <v>3.8</v>
      </c>
      <c r="D37" s="60">
        <v>500.98</v>
      </c>
      <c r="E37" s="61">
        <f t="shared" si="0"/>
        <v>100.89734308272567</v>
      </c>
      <c r="F37" s="62">
        <v>102.91</v>
      </c>
      <c r="G37" s="62">
        <v>1.62</v>
      </c>
      <c r="H37" s="68">
        <f t="shared" si="1"/>
        <v>101.28999999999999</v>
      </c>
      <c r="I37" s="64">
        <f t="shared" si="2"/>
        <v>26.603128665134808</v>
      </c>
      <c r="J37" s="60">
        <v>509.76</v>
      </c>
      <c r="K37" s="60">
        <v>686.52</v>
      </c>
      <c r="L37" s="60">
        <v>684.82</v>
      </c>
      <c r="M37" s="60">
        <v>1047</v>
      </c>
      <c r="N37" s="61">
        <v>100</v>
      </c>
      <c r="O37" s="65">
        <f t="shared" si="3"/>
        <v>175.06000000000006</v>
      </c>
      <c r="P37" s="61">
        <f t="shared" si="3"/>
        <v>360.48</v>
      </c>
      <c r="Q37" s="61">
        <f t="shared" si="4"/>
        <v>9.669805625193888</v>
      </c>
      <c r="R37" s="66">
        <f t="shared" si="5"/>
        <v>65.406927494141357</v>
      </c>
      <c r="S37" s="67"/>
      <c r="T37" s="67"/>
      <c r="U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8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">
      <c r="A38" s="70">
        <v>6</v>
      </c>
      <c r="B38" s="71">
        <v>29</v>
      </c>
      <c r="C38" s="71">
        <v>3.8</v>
      </c>
      <c r="D38" s="71">
        <v>504.06</v>
      </c>
      <c r="E38" s="72">
        <f t="shared" si="0"/>
        <v>111.09479216012707</v>
      </c>
      <c r="F38" s="73">
        <v>112.85</v>
      </c>
      <c r="G38" s="73">
        <v>1.22</v>
      </c>
      <c r="H38" s="68">
        <f t="shared" si="1"/>
        <v>111.63</v>
      </c>
      <c r="I38" s="64">
        <f t="shared" si="2"/>
        <v>29.139709765458161</v>
      </c>
      <c r="J38" s="60">
        <v>443.26</v>
      </c>
      <c r="K38" s="60">
        <v>361.64</v>
      </c>
      <c r="L38" s="71">
        <v>571.17999999999995</v>
      </c>
      <c r="M38" s="71">
        <v>741</v>
      </c>
      <c r="N38" s="61">
        <v>100</v>
      </c>
      <c r="O38" s="65">
        <f t="shared" si="3"/>
        <v>127.91999999999996</v>
      </c>
      <c r="P38" s="61">
        <f t="shared" si="3"/>
        <v>379.36</v>
      </c>
      <c r="Q38" s="61">
        <f t="shared" si="4"/>
        <v>12.337098190632654</v>
      </c>
      <c r="R38" s="66">
        <f t="shared" si="5"/>
        <v>51.265886486152965</v>
      </c>
      <c r="S38" s="67"/>
      <c r="T38" s="67"/>
      <c r="U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8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ht="18" customHeight="1" x14ac:dyDescent="0.35">
      <c r="A39" s="181" t="s">
        <v>74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4"/>
      <c r="O39" s="4"/>
      <c r="P39" s="4"/>
      <c r="Q39" s="4"/>
      <c r="R39" s="4">
        <v>0</v>
      </c>
      <c r="S39" s="4"/>
      <c r="T39" s="4"/>
      <c r="U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8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ht="15.75" customHeight="1" x14ac:dyDescent="0.3">
      <c r="A40" s="56" t="s">
        <v>56</v>
      </c>
      <c r="B40" s="56" t="s">
        <v>75</v>
      </c>
      <c r="C40" s="57" t="s">
        <v>76</v>
      </c>
      <c r="D40" s="182" t="s">
        <v>77</v>
      </c>
      <c r="E40" s="182"/>
      <c r="F40" s="182"/>
      <c r="G40" s="182"/>
      <c r="H40" s="182"/>
      <c r="I40" s="183" t="s">
        <v>78</v>
      </c>
      <c r="J40" s="183"/>
      <c r="K40" s="183"/>
      <c r="L40" s="183"/>
      <c r="M40" s="183"/>
      <c r="N40" s="4"/>
      <c r="O40" s="4"/>
      <c r="P40" s="4"/>
      <c r="Q40" s="4"/>
      <c r="R40" s="4"/>
      <c r="S40" s="4"/>
      <c r="T40" s="4"/>
      <c r="U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8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x14ac:dyDescent="0.3">
      <c r="A41" s="74">
        <v>1</v>
      </c>
      <c r="B41" s="75">
        <f>AVERAGE(D41:H41)</f>
        <v>121.6</v>
      </c>
      <c r="C41" s="76">
        <f>AVERAGE(I41:K41)</f>
        <v>47.966666666666669</v>
      </c>
      <c r="D41" s="77"/>
      <c r="E41" s="78"/>
      <c r="F41" s="78">
        <v>128.9</v>
      </c>
      <c r="G41" s="78">
        <v>114.3</v>
      </c>
      <c r="H41" s="79"/>
      <c r="I41" s="80">
        <v>42.7</v>
      </c>
      <c r="J41" s="81">
        <v>54.6</v>
      </c>
      <c r="K41" s="81">
        <v>46.6</v>
      </c>
      <c r="L41" s="81"/>
      <c r="M41" s="82"/>
      <c r="N41" s="4"/>
      <c r="O41" s="4"/>
      <c r="P41" s="4"/>
      <c r="Q41" s="4"/>
      <c r="R41" s="4"/>
      <c r="S41" s="4"/>
      <c r="T41" s="4"/>
      <c r="U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8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x14ac:dyDescent="0.3">
      <c r="A42" s="74">
        <v>2</v>
      </c>
      <c r="B42" s="75">
        <f>AVERAGE(D42:H42)</f>
        <v>114.43333333333334</v>
      </c>
      <c r="C42" s="76">
        <f>AVERAGE(I42:K42)</f>
        <v>45.05</v>
      </c>
      <c r="D42" s="80">
        <v>91.6</v>
      </c>
      <c r="E42" s="81">
        <v>133</v>
      </c>
      <c r="F42" s="81">
        <v>118.7</v>
      </c>
      <c r="G42" s="81"/>
      <c r="H42" s="82"/>
      <c r="I42" s="80">
        <v>41.8</v>
      </c>
      <c r="J42" s="81"/>
      <c r="K42" s="81">
        <v>48.3</v>
      </c>
      <c r="L42" s="81"/>
      <c r="M42" s="82"/>
      <c r="N42" s="4"/>
      <c r="O42" s="4"/>
      <c r="P42" s="4"/>
      <c r="Q42" s="4"/>
      <c r="R42" s="4"/>
      <c r="S42" s="4"/>
      <c r="T42" s="4"/>
      <c r="U42" s="26"/>
      <c r="V42" s="27"/>
      <c r="W42" s="27"/>
      <c r="X42" s="27"/>
      <c r="Y42" s="27"/>
      <c r="Z42" s="27"/>
      <c r="AA42" s="27"/>
      <c r="AB42" s="27"/>
      <c r="AC42" s="27"/>
      <c r="AD42" s="83"/>
      <c r="AE42" s="83"/>
      <c r="AF42" s="83"/>
      <c r="AG42" s="83"/>
      <c r="AH42" s="83"/>
      <c r="AI42" s="83"/>
      <c r="AJ42" s="83"/>
      <c r="AK42" s="83"/>
      <c r="AL42" s="8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ht="34.5" customHeight="1" x14ac:dyDescent="0.3">
      <c r="A43" s="74">
        <v>3</v>
      </c>
      <c r="B43" s="75">
        <f>AVERAGE(D43:F43)</f>
        <v>55.6</v>
      </c>
      <c r="C43" s="76">
        <f>AVERAGE(I43:K43)</f>
        <v>43.933333333333337</v>
      </c>
      <c r="D43" s="80"/>
      <c r="E43" s="81">
        <v>52.7</v>
      </c>
      <c r="F43" s="81">
        <v>58.5</v>
      </c>
      <c r="G43" s="81">
        <v>65</v>
      </c>
      <c r="H43" s="82"/>
      <c r="I43" s="80">
        <v>42.9</v>
      </c>
      <c r="J43" s="81">
        <v>39.700000000000003</v>
      </c>
      <c r="K43" s="81">
        <v>49.2</v>
      </c>
      <c r="L43" s="81"/>
      <c r="M43" s="82"/>
      <c r="N43" s="4"/>
      <c r="O43" s="4"/>
      <c r="P43" s="4"/>
      <c r="Q43" s="4"/>
      <c r="R43" s="4"/>
      <c r="S43" s="4"/>
      <c r="T43" s="4"/>
      <c r="U43" s="184" t="s">
        <v>79</v>
      </c>
      <c r="V43" s="184"/>
      <c r="W43" s="184"/>
      <c r="X43" s="184"/>
      <c r="Y43" s="184"/>
      <c r="Z43" s="184"/>
      <c r="AA43" s="184"/>
      <c r="AB43" s="184"/>
      <c r="AC43" s="184"/>
      <c r="AD43" s="175" t="s">
        <v>80</v>
      </c>
      <c r="AE43" s="175"/>
      <c r="AF43" s="175"/>
      <c r="AG43" s="175"/>
      <c r="AH43" s="175"/>
      <c r="AI43" s="175"/>
      <c r="AJ43" s="175"/>
      <c r="AK43" s="175"/>
      <c r="AL43" s="175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ht="15.75" customHeight="1" x14ac:dyDescent="0.3">
      <c r="A44" s="74">
        <v>4</v>
      </c>
      <c r="B44" s="75">
        <f>AVERAGE(D44:F44)</f>
        <v>49.2</v>
      </c>
      <c r="C44" s="76">
        <f>AVERAGE(I44:K44)</f>
        <v>39.800000000000004</v>
      </c>
      <c r="D44" s="80">
        <v>54.4</v>
      </c>
      <c r="E44" s="81">
        <v>44</v>
      </c>
      <c r="F44" s="81"/>
      <c r="G44" s="81"/>
      <c r="H44" s="82">
        <v>67</v>
      </c>
      <c r="I44" s="80">
        <v>37.700000000000003</v>
      </c>
      <c r="J44" s="81">
        <v>37.1</v>
      </c>
      <c r="K44" s="81">
        <v>44.6</v>
      </c>
      <c r="L44" s="81"/>
      <c r="M44" s="82"/>
      <c r="N44" s="4"/>
      <c r="O44" s="4"/>
      <c r="P44" s="4"/>
      <c r="Q44" s="4"/>
      <c r="R44" s="4"/>
      <c r="S44" s="4"/>
      <c r="T44" s="4"/>
      <c r="U44" s="184"/>
      <c r="V44" s="184"/>
      <c r="W44" s="184"/>
      <c r="X44" s="184"/>
      <c r="Y44" s="184"/>
      <c r="Z44" s="184"/>
      <c r="AA44" s="184"/>
      <c r="AB44" s="184"/>
      <c r="AC44" s="184"/>
      <c r="AD44" s="175"/>
      <c r="AE44" s="175"/>
      <c r="AF44" s="175"/>
      <c r="AG44" s="175"/>
      <c r="AH44" s="175"/>
      <c r="AI44" s="175"/>
      <c r="AJ44" s="175"/>
      <c r="AK44" s="175"/>
      <c r="AL44" s="175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ht="15.75" customHeight="1" x14ac:dyDescent="0.3">
      <c r="A45" s="74">
        <v>5</v>
      </c>
      <c r="B45" s="75">
        <f>AVERAGE(E45:H45)</f>
        <v>40.549999999999997</v>
      </c>
      <c r="C45" s="76">
        <f>AVERAGE(I45:K45)</f>
        <v>34.049999999999997</v>
      </c>
      <c r="D45" s="81">
        <v>42.1</v>
      </c>
      <c r="E45" s="81">
        <v>41.7</v>
      </c>
      <c r="F45" s="82">
        <v>39.4</v>
      </c>
      <c r="G45" s="82"/>
      <c r="H45" s="82"/>
      <c r="I45" s="80">
        <v>33.1</v>
      </c>
      <c r="J45" s="81"/>
      <c r="K45" s="81">
        <v>35</v>
      </c>
      <c r="L45" s="81"/>
      <c r="M45" s="82">
        <v>43.7</v>
      </c>
      <c r="N45" s="4"/>
      <c r="O45" s="4"/>
      <c r="P45" s="4"/>
      <c r="Q45" s="4"/>
      <c r="R45" s="4"/>
      <c r="S45" s="4"/>
      <c r="T45" s="4"/>
      <c r="U45" s="26"/>
      <c r="V45" s="27"/>
      <c r="W45" s="27"/>
      <c r="X45" s="27"/>
      <c r="Y45" s="27"/>
      <c r="Z45" s="27"/>
      <c r="AA45" s="27"/>
      <c r="AB45" s="27"/>
      <c r="AC45" s="85"/>
      <c r="AD45" s="27"/>
      <c r="AE45" s="27"/>
      <c r="AF45" s="27"/>
      <c r="AG45" s="27"/>
      <c r="AH45" s="27"/>
      <c r="AI45" s="27"/>
      <c r="AJ45" s="27"/>
      <c r="AK45" s="27"/>
      <c r="AL45" s="86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ht="15.75" customHeight="1" x14ac:dyDescent="0.3">
      <c r="A46" s="74">
        <v>6</v>
      </c>
      <c r="B46" s="75">
        <f>AVERAGE(D46:F46)</f>
        <v>39.833333333333336</v>
      </c>
      <c r="C46" s="76">
        <f>AVERAGE(I46:M46)</f>
        <v>24.033333333333331</v>
      </c>
      <c r="D46" s="80">
        <v>39</v>
      </c>
      <c r="E46" s="81">
        <v>41</v>
      </c>
      <c r="F46" s="81">
        <v>39.5</v>
      </c>
      <c r="G46" s="81"/>
      <c r="H46" s="82"/>
      <c r="I46" s="80">
        <v>28.7</v>
      </c>
      <c r="J46" s="81">
        <v>22.4</v>
      </c>
      <c r="K46" s="81">
        <v>21</v>
      </c>
      <c r="L46" s="81"/>
      <c r="M46" s="82"/>
      <c r="N46" s="4"/>
      <c r="O46" s="4"/>
      <c r="P46" s="4"/>
      <c r="Q46" s="4"/>
      <c r="R46" s="4"/>
      <c r="S46" s="4"/>
      <c r="T46" s="4"/>
      <c r="U46" s="26"/>
      <c r="V46" s="27"/>
      <c r="W46" s="27"/>
      <c r="X46" s="27"/>
      <c r="Y46" s="27"/>
      <c r="Z46" s="27"/>
      <c r="AA46" s="27"/>
      <c r="AB46" s="27"/>
      <c r="AC46" s="85"/>
      <c r="AD46" s="27"/>
      <c r="AE46" s="27"/>
      <c r="AF46" s="27"/>
      <c r="AG46" s="27"/>
      <c r="AH46" s="27"/>
      <c r="AI46" s="27"/>
      <c r="AJ46" s="27"/>
      <c r="AK46" s="27"/>
      <c r="AL46" s="86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26"/>
      <c r="V47" s="27"/>
      <c r="W47" s="27"/>
      <c r="X47" s="176" t="s">
        <v>81</v>
      </c>
      <c r="Y47" s="176"/>
      <c r="Z47" s="176"/>
      <c r="AA47" s="27"/>
      <c r="AB47" s="27"/>
      <c r="AC47" s="85"/>
      <c r="AD47" s="27"/>
      <c r="AE47" s="27"/>
      <c r="AF47" s="27"/>
      <c r="AG47" s="27"/>
      <c r="AH47" s="27"/>
      <c r="AI47" s="27"/>
      <c r="AJ47" s="27"/>
      <c r="AK47" s="27"/>
      <c r="AL47" s="86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ht="21" customHeight="1" x14ac:dyDescent="0.3">
      <c r="A48" s="177" t="s">
        <v>82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4"/>
      <c r="R48" s="4"/>
      <c r="S48" s="4"/>
      <c r="T48" s="4"/>
      <c r="U48" s="26"/>
      <c r="V48" s="27"/>
      <c r="W48" s="27"/>
      <c r="X48" s="1"/>
      <c r="Y48" s="1" t="s">
        <v>18</v>
      </c>
      <c r="Z48" s="1" t="s">
        <v>83</v>
      </c>
      <c r="AA48" s="27"/>
      <c r="AB48" s="27"/>
      <c r="AC48" s="85"/>
      <c r="AD48" s="27"/>
      <c r="AE48" s="27"/>
      <c r="AF48" s="27"/>
      <c r="AG48" s="27"/>
      <c r="AH48" s="27"/>
      <c r="AI48" s="27"/>
      <c r="AJ48" s="27"/>
      <c r="AK48" s="27"/>
      <c r="AL48" s="86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8" ht="21.75" customHeight="1" x14ac:dyDescent="0.3">
      <c r="A49" s="55" t="s">
        <v>84</v>
      </c>
      <c r="B49" s="56" t="s">
        <v>85</v>
      </c>
      <c r="C49" s="56" t="s">
        <v>86</v>
      </c>
      <c r="D49" s="56" t="s">
        <v>87</v>
      </c>
      <c r="E49" s="56" t="s">
        <v>88</v>
      </c>
      <c r="F49" s="56" t="s">
        <v>89</v>
      </c>
      <c r="G49" s="56" t="s">
        <v>90</v>
      </c>
      <c r="H49" s="56" t="s">
        <v>91</v>
      </c>
      <c r="I49" s="56" t="s">
        <v>92</v>
      </c>
      <c r="J49" s="56" t="s">
        <v>93</v>
      </c>
      <c r="K49" s="56" t="s">
        <v>94</v>
      </c>
      <c r="L49" s="56" t="s">
        <v>95</v>
      </c>
      <c r="M49" s="56" t="s">
        <v>96</v>
      </c>
      <c r="N49" s="56" t="s">
        <v>97</v>
      </c>
      <c r="O49" s="56" t="s">
        <v>98</v>
      </c>
      <c r="P49" s="87" t="s">
        <v>99</v>
      </c>
      <c r="Q49" s="4"/>
      <c r="R49" s="4"/>
      <c r="S49" s="4"/>
      <c r="T49" s="4"/>
      <c r="U49" s="26"/>
      <c r="V49" s="27"/>
      <c r="W49" s="27"/>
      <c r="X49" s="88" t="s">
        <v>100</v>
      </c>
      <c r="Y49" s="88" t="s">
        <v>101</v>
      </c>
      <c r="Z49" s="88" t="s">
        <v>34</v>
      </c>
      <c r="AA49" s="27"/>
      <c r="AB49" s="27"/>
      <c r="AC49" s="85"/>
      <c r="AD49" s="27"/>
      <c r="AE49" s="27"/>
      <c r="AF49" s="27"/>
      <c r="AG49" s="27"/>
      <c r="AH49" s="27"/>
      <c r="AI49" s="27"/>
      <c r="AJ49" s="27"/>
      <c r="AK49" s="27"/>
      <c r="AL49" s="86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8" ht="21" customHeight="1" x14ac:dyDescent="0.3">
      <c r="A50" s="89">
        <v>1</v>
      </c>
      <c r="B50" s="90">
        <v>1.0935999999999999</v>
      </c>
      <c r="C50" s="90">
        <v>1.0981000000000001</v>
      </c>
      <c r="D50" s="47">
        <v>10</v>
      </c>
      <c r="E50" s="47">
        <v>10</v>
      </c>
      <c r="F50" s="91">
        <v>1.105</v>
      </c>
      <c r="G50" s="91">
        <v>1.1105</v>
      </c>
      <c r="H50" s="47">
        <v>1</v>
      </c>
      <c r="I50" s="92">
        <f t="shared" ref="I50:I56" si="6">(F50-B50)*1000*H50/D50</f>
        <v>1.1400000000000077</v>
      </c>
      <c r="J50" s="92">
        <f t="shared" ref="J50:J56" si="7">(G50-C50)*1000*H50/E50</f>
        <v>1.2399999999999967</v>
      </c>
      <c r="K50" s="93">
        <f t="shared" ref="K50:K56" si="8">AVERAGE(I50:J50)</f>
        <v>1.1900000000000022</v>
      </c>
      <c r="L50" s="81">
        <v>1.0952</v>
      </c>
      <c r="M50" s="81">
        <v>1.1002000000000001</v>
      </c>
      <c r="N50" s="94">
        <f t="shared" ref="N50:N56" si="9">(F50-L50)/E50*1000000</f>
        <v>980.00000000000296</v>
      </c>
      <c r="O50" s="50">
        <f t="shared" ref="O50:O56" si="10">(G50-M50)/E50*1000000</f>
        <v>1029.9999999999975</v>
      </c>
      <c r="P50" s="95">
        <f t="shared" ref="P50:P56" si="11">AVERAGE(N50:O50)</f>
        <v>1005.0000000000002</v>
      </c>
      <c r="Q50" s="4"/>
      <c r="R50" s="4"/>
      <c r="S50" s="4"/>
      <c r="T50" s="4"/>
      <c r="U50" s="26"/>
      <c r="V50" s="27"/>
      <c r="W50" s="27"/>
      <c r="X50" s="88"/>
      <c r="Y50" s="88" t="s">
        <v>102</v>
      </c>
      <c r="Z50" s="88" t="s">
        <v>103</v>
      </c>
      <c r="AA50" s="27"/>
      <c r="AB50" s="27"/>
      <c r="AC50" s="85"/>
      <c r="AD50" s="27"/>
      <c r="AE50" s="27"/>
      <c r="AF50" s="27"/>
      <c r="AG50" s="27"/>
      <c r="AH50" s="27"/>
      <c r="AI50" s="27"/>
      <c r="AJ50" s="27"/>
      <c r="AK50" s="27"/>
      <c r="AL50" s="86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8" x14ac:dyDescent="0.3">
      <c r="A51" s="89">
        <v>2</v>
      </c>
      <c r="B51" s="90">
        <v>1.1014999999999999</v>
      </c>
      <c r="C51" s="96">
        <v>1.1064000000000001</v>
      </c>
      <c r="D51" s="47">
        <v>10</v>
      </c>
      <c r="E51" s="47">
        <v>10</v>
      </c>
      <c r="F51" s="91">
        <v>1.1126</v>
      </c>
      <c r="G51" s="91">
        <v>1.1182000000000001</v>
      </c>
      <c r="H51" s="47">
        <v>1</v>
      </c>
      <c r="I51" s="92">
        <f t="shared" si="6"/>
        <v>1.110000000000011</v>
      </c>
      <c r="J51" s="92">
        <f t="shared" si="7"/>
        <v>1.1800000000000033</v>
      </c>
      <c r="K51" s="93">
        <f t="shared" si="8"/>
        <v>1.1450000000000071</v>
      </c>
      <c r="L51" s="81">
        <v>1.1024</v>
      </c>
      <c r="M51" s="81">
        <v>1.1084000000000001</v>
      </c>
      <c r="N51" s="94">
        <f t="shared" si="9"/>
        <v>1019.9999999999987</v>
      </c>
      <c r="O51" s="50">
        <f t="shared" si="10"/>
        <v>980.00000000000296</v>
      </c>
      <c r="P51" s="95">
        <f t="shared" si="11"/>
        <v>1000.0000000000009</v>
      </c>
      <c r="Q51" s="4"/>
      <c r="R51" s="4"/>
      <c r="S51" s="4"/>
      <c r="T51" s="4"/>
      <c r="U51" s="26"/>
      <c r="V51" s="27"/>
      <c r="W51" s="27"/>
      <c r="X51" s="27"/>
      <c r="Y51" s="27"/>
      <c r="Z51" s="27"/>
      <c r="AA51" s="27"/>
      <c r="AB51" s="27"/>
      <c r="AC51" s="85"/>
      <c r="AD51" s="27"/>
      <c r="AE51" s="27"/>
      <c r="AF51" s="27"/>
      <c r="AG51" s="27"/>
      <c r="AH51" s="27"/>
      <c r="AI51" s="27"/>
      <c r="AJ51" s="27"/>
      <c r="AK51" s="27"/>
      <c r="AL51" s="86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8" x14ac:dyDescent="0.3">
      <c r="A52" s="89">
        <v>3</v>
      </c>
      <c r="B52" s="90">
        <v>1.1183000000000001</v>
      </c>
      <c r="C52" s="74">
        <v>1.1200000000000001</v>
      </c>
      <c r="D52" s="47">
        <v>10</v>
      </c>
      <c r="E52" s="47">
        <v>10</v>
      </c>
      <c r="F52" s="91">
        <v>1.127</v>
      </c>
      <c r="G52" s="91">
        <v>1.131</v>
      </c>
      <c r="H52" s="47">
        <v>1</v>
      </c>
      <c r="I52" s="92">
        <f t="shared" si="6"/>
        <v>0.869999999999993</v>
      </c>
      <c r="J52" s="92">
        <f t="shared" si="7"/>
        <v>1.0999999999999899</v>
      </c>
      <c r="K52" s="93">
        <f t="shared" si="8"/>
        <v>0.98499999999999144</v>
      </c>
      <c r="L52" s="81">
        <v>1.1185</v>
      </c>
      <c r="M52" s="81">
        <v>1.1220000000000001</v>
      </c>
      <c r="N52" s="94">
        <f t="shared" si="9"/>
        <v>849.99999999999523</v>
      </c>
      <c r="O52" s="50">
        <f t="shared" si="10"/>
        <v>899.99999999998965</v>
      </c>
      <c r="P52" s="95">
        <f t="shared" si="11"/>
        <v>874.9999999999925</v>
      </c>
      <c r="Q52" s="4"/>
      <c r="R52" s="4"/>
      <c r="S52" s="4"/>
      <c r="T52" s="4"/>
      <c r="U52" s="26"/>
      <c r="V52" s="178" t="s">
        <v>5</v>
      </c>
      <c r="W52" s="178"/>
      <c r="X52" s="178"/>
      <c r="Y52" s="178"/>
      <c r="Z52" s="178"/>
      <c r="AA52" s="27"/>
      <c r="AB52" s="27"/>
      <c r="AC52" s="85"/>
      <c r="AD52" s="27"/>
      <c r="AE52" s="27"/>
      <c r="AF52" s="27"/>
      <c r="AG52" s="27"/>
      <c r="AH52" s="27"/>
      <c r="AI52" s="27"/>
      <c r="AJ52" s="27"/>
      <c r="AK52" s="27"/>
      <c r="AL52" s="86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8" x14ac:dyDescent="0.3">
      <c r="A53" s="89">
        <v>4</v>
      </c>
      <c r="B53" s="96">
        <v>1.1296999999999999</v>
      </c>
      <c r="C53" s="97">
        <v>1.1231</v>
      </c>
      <c r="D53" s="47">
        <v>10</v>
      </c>
      <c r="E53" s="47">
        <v>10</v>
      </c>
      <c r="F53" s="91">
        <v>1.1364000000000001</v>
      </c>
      <c r="G53" s="91">
        <v>1.1305000000000001</v>
      </c>
      <c r="H53" s="47">
        <v>1</v>
      </c>
      <c r="I53" s="92">
        <f t="shared" si="6"/>
        <v>0.67000000000001503</v>
      </c>
      <c r="J53" s="92">
        <f t="shared" si="7"/>
        <v>0.74000000000000732</v>
      </c>
      <c r="K53" s="93">
        <f t="shared" si="8"/>
        <v>0.70500000000001117</v>
      </c>
      <c r="L53" s="81">
        <v>1.1303000000000001</v>
      </c>
      <c r="M53" s="81">
        <v>1.1242000000000001</v>
      </c>
      <c r="N53" s="94">
        <f t="shared" si="9"/>
        <v>609.99999999999943</v>
      </c>
      <c r="O53" s="50">
        <f t="shared" si="10"/>
        <v>629.99999999999716</v>
      </c>
      <c r="P53" s="95">
        <f t="shared" si="11"/>
        <v>619.99999999999829</v>
      </c>
      <c r="Q53" s="4"/>
      <c r="R53" s="4"/>
      <c r="S53" s="4"/>
      <c r="T53" s="4"/>
      <c r="U53" s="26"/>
      <c r="V53" s="98"/>
      <c r="W53" s="99"/>
      <c r="X53" s="99"/>
      <c r="Y53" s="100" t="s">
        <v>9</v>
      </c>
      <c r="Z53" s="101"/>
      <c r="AA53" s="27"/>
      <c r="AB53" s="27"/>
      <c r="AC53" s="85"/>
      <c r="AD53" s="27"/>
      <c r="AE53" s="27"/>
      <c r="AF53" s="27"/>
      <c r="AG53" s="27"/>
      <c r="AH53" s="27"/>
      <c r="AI53" s="27"/>
      <c r="AJ53" s="27"/>
      <c r="AK53" s="27"/>
      <c r="AL53" s="28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8" x14ac:dyDescent="0.3">
      <c r="A54" s="89">
        <v>5</v>
      </c>
      <c r="B54" s="96">
        <v>1.1131</v>
      </c>
      <c r="C54" s="97">
        <v>1.1171</v>
      </c>
      <c r="D54" s="47">
        <v>10</v>
      </c>
      <c r="E54" s="47">
        <v>10</v>
      </c>
      <c r="F54" s="91">
        <v>1.1213</v>
      </c>
      <c r="G54" s="91">
        <v>1.1251</v>
      </c>
      <c r="H54" s="47">
        <v>1</v>
      </c>
      <c r="I54" s="92">
        <f t="shared" si="6"/>
        <v>0.81999999999999851</v>
      </c>
      <c r="J54" s="92">
        <f t="shared" si="7"/>
        <v>0.80000000000000071</v>
      </c>
      <c r="K54" s="93">
        <f t="shared" si="8"/>
        <v>0.80999999999999961</v>
      </c>
      <c r="L54" s="81">
        <v>1.1133999999999999</v>
      </c>
      <c r="M54" s="81">
        <v>1.1178999999999999</v>
      </c>
      <c r="N54" s="94">
        <f t="shared" si="9"/>
        <v>790.00000000000182</v>
      </c>
      <c r="O54" s="50">
        <f t="shared" si="10"/>
        <v>720.00000000000944</v>
      </c>
      <c r="P54" s="95">
        <f t="shared" si="11"/>
        <v>755.00000000000568</v>
      </c>
      <c r="Q54" s="4"/>
      <c r="R54" s="4"/>
      <c r="S54" s="4"/>
      <c r="T54" s="4"/>
      <c r="U54" s="26"/>
      <c r="V54" s="102"/>
      <c r="W54" s="103" t="s">
        <v>12</v>
      </c>
      <c r="X54" s="103" t="s">
        <v>13</v>
      </c>
      <c r="Y54" s="103" t="s">
        <v>14</v>
      </c>
      <c r="Z54" s="104" t="s">
        <v>15</v>
      </c>
      <c r="AA54" s="27"/>
      <c r="AB54" s="27"/>
      <c r="AC54" s="85"/>
      <c r="AD54" s="27"/>
      <c r="AE54" s="27"/>
      <c r="AF54" s="27"/>
      <c r="AG54" s="105"/>
      <c r="AH54" s="27"/>
      <c r="AI54" s="27"/>
      <c r="AJ54" s="27"/>
      <c r="AK54" s="27"/>
      <c r="AL54" s="28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8" x14ac:dyDescent="0.3">
      <c r="A55" s="106">
        <v>6</v>
      </c>
      <c r="B55" s="96">
        <v>1.1061000000000001</v>
      </c>
      <c r="C55" s="97">
        <v>1.1164000000000001</v>
      </c>
      <c r="D55" s="47">
        <v>10</v>
      </c>
      <c r="E55" s="47">
        <v>10</v>
      </c>
      <c r="F55" s="107">
        <v>1.1103000000000001</v>
      </c>
      <c r="G55" s="107">
        <v>1.1207</v>
      </c>
      <c r="H55" s="47">
        <v>1</v>
      </c>
      <c r="I55" s="92">
        <f t="shared" si="6"/>
        <v>0.41999999999999815</v>
      </c>
      <c r="J55" s="92">
        <f t="shared" si="7"/>
        <v>0.42999999999999705</v>
      </c>
      <c r="K55" s="93">
        <f t="shared" si="8"/>
        <v>0.4249999999999976</v>
      </c>
      <c r="L55" s="108">
        <v>1.1065</v>
      </c>
      <c r="M55" s="108">
        <v>1.1169</v>
      </c>
      <c r="N55" s="94">
        <f t="shared" si="9"/>
        <v>380.00000000000256</v>
      </c>
      <c r="O55" s="50">
        <f t="shared" si="10"/>
        <v>380.00000000000256</v>
      </c>
      <c r="P55" s="95">
        <f t="shared" si="11"/>
        <v>380.00000000000256</v>
      </c>
      <c r="Q55" s="4"/>
      <c r="R55" s="4"/>
      <c r="S55" s="4"/>
      <c r="T55" s="4"/>
      <c r="U55" s="26"/>
      <c r="V55" s="102"/>
      <c r="W55" s="103"/>
      <c r="X55" s="103"/>
      <c r="Y55" s="103"/>
      <c r="Z55" s="104"/>
      <c r="AA55" s="27"/>
      <c r="AB55" s="27"/>
      <c r="AC55" s="85"/>
      <c r="AD55" s="27"/>
      <c r="AE55" s="27"/>
      <c r="AF55" s="27"/>
      <c r="AG55" s="105"/>
      <c r="AH55" s="27"/>
      <c r="AI55" s="27"/>
      <c r="AJ55" s="27"/>
      <c r="AK55" s="27"/>
      <c r="AL55" s="28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8" ht="40.5" customHeight="1" x14ac:dyDescent="0.3">
      <c r="A56" s="109" t="s">
        <v>104</v>
      </c>
      <c r="B56" s="96">
        <v>1.1020000000000001</v>
      </c>
      <c r="C56" s="97">
        <v>1.1055999999999999</v>
      </c>
      <c r="D56" s="110">
        <v>10</v>
      </c>
      <c r="E56" s="110">
        <v>10</v>
      </c>
      <c r="F56" s="111">
        <v>1.1079000000000001</v>
      </c>
      <c r="G56" s="111">
        <v>1.1133999999999999</v>
      </c>
      <c r="H56" s="47">
        <v>1</v>
      </c>
      <c r="I56" s="92">
        <f t="shared" si="6"/>
        <v>0.59000000000000163</v>
      </c>
      <c r="J56" s="92">
        <f t="shared" si="7"/>
        <v>0.78000000000000291</v>
      </c>
      <c r="K56" s="93">
        <f t="shared" si="8"/>
        <v>0.68500000000000227</v>
      </c>
      <c r="L56" s="112">
        <v>1.1022000000000001</v>
      </c>
      <c r="M56" s="112">
        <v>1.1071</v>
      </c>
      <c r="N56" s="52">
        <f t="shared" si="9"/>
        <v>570.00000000000387</v>
      </c>
      <c r="O56" s="50">
        <f t="shared" si="10"/>
        <v>629.99999999999716</v>
      </c>
      <c r="P56" s="95">
        <f t="shared" si="11"/>
        <v>600.00000000000045</v>
      </c>
      <c r="Q56" s="4"/>
      <c r="R56" s="4"/>
      <c r="S56" s="4"/>
      <c r="T56" s="4"/>
      <c r="U56" s="26"/>
      <c r="V56" s="102" t="s">
        <v>18</v>
      </c>
      <c r="W56" s="100" t="s">
        <v>19</v>
      </c>
      <c r="X56" s="113">
        <f>H10</f>
        <v>3.5084598678429519</v>
      </c>
      <c r="Y56" s="114"/>
      <c r="Z56" s="115"/>
      <c r="AA56" s="27"/>
      <c r="AB56" s="27"/>
      <c r="AC56" s="85"/>
      <c r="AD56" s="27"/>
      <c r="AE56" s="27"/>
      <c r="AF56" s="27"/>
      <c r="AG56" s="27"/>
      <c r="AH56" s="27"/>
      <c r="AI56" s="27"/>
      <c r="AJ56" s="27"/>
      <c r="AK56" s="27"/>
      <c r="AL56" s="28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1:58" ht="34.5" customHeight="1" x14ac:dyDescent="0.3">
      <c r="A57" s="4" t="s">
        <v>105</v>
      </c>
      <c r="B57" s="4"/>
      <c r="C57" s="116"/>
      <c r="D57" s="11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26"/>
      <c r="V57" s="102" t="s">
        <v>22</v>
      </c>
      <c r="W57" s="100" t="s">
        <v>106</v>
      </c>
      <c r="X57" s="117">
        <f>H11</f>
        <v>0.16500000000000001</v>
      </c>
      <c r="Y57" s="117">
        <f t="shared" ref="Y57:Z60" si="12">I11</f>
        <v>0.16500000000000001</v>
      </c>
      <c r="Z57" s="118">
        <f t="shared" si="12"/>
        <v>0.16500000000000001</v>
      </c>
      <c r="AA57" s="27"/>
      <c r="AB57" s="27"/>
      <c r="AC57" s="85"/>
      <c r="AD57" s="27"/>
      <c r="AE57" s="27"/>
      <c r="AF57" s="27"/>
      <c r="AG57" s="27"/>
      <c r="AH57" s="27"/>
      <c r="AI57" s="27"/>
      <c r="AJ57" s="27"/>
      <c r="AK57" s="27"/>
      <c r="AL57" s="28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26"/>
      <c r="V58" s="102" t="s">
        <v>26</v>
      </c>
      <c r="W58" s="100" t="s">
        <v>27</v>
      </c>
      <c r="X58" s="119">
        <f>H12</f>
        <v>21.710526315789476</v>
      </c>
      <c r="Y58" s="119">
        <f t="shared" si="12"/>
        <v>26.603128665134808</v>
      </c>
      <c r="Z58" s="119">
        <f t="shared" si="12"/>
        <v>23.899659713224764</v>
      </c>
      <c r="AA58" s="27"/>
      <c r="AB58" s="27"/>
      <c r="AC58" s="85"/>
      <c r="AD58" s="27"/>
      <c r="AE58" s="27"/>
      <c r="AF58" s="27"/>
      <c r="AG58" s="27"/>
      <c r="AH58" s="27"/>
      <c r="AI58" s="27"/>
      <c r="AJ58" s="27"/>
      <c r="AK58" s="27"/>
      <c r="AL58" s="28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1:58" x14ac:dyDescent="0.3">
      <c r="A59" s="179" t="s">
        <v>107</v>
      </c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4"/>
      <c r="Q59" s="4"/>
      <c r="R59" s="4"/>
      <c r="S59" s="4"/>
      <c r="T59" s="4"/>
      <c r="U59" s="26"/>
      <c r="V59" s="102" t="s">
        <v>30</v>
      </c>
      <c r="W59" s="100" t="s">
        <v>19</v>
      </c>
      <c r="X59" s="114">
        <f>H13</f>
        <v>28.667686781903466</v>
      </c>
      <c r="Y59" s="120">
        <f t="shared" si="12"/>
        <v>26.087428899711739</v>
      </c>
      <c r="Z59" s="121">
        <f t="shared" si="12"/>
        <v>29.747240591983005</v>
      </c>
      <c r="AA59" s="27"/>
      <c r="AB59" s="27"/>
      <c r="AC59" s="85"/>
      <c r="AD59" s="27"/>
      <c r="AE59" s="27"/>
      <c r="AF59" s="27"/>
      <c r="AG59" s="27"/>
      <c r="AH59" s="27"/>
      <c r="AI59" s="27"/>
      <c r="AJ59" s="27"/>
      <c r="AK59" s="27"/>
      <c r="AL59" s="28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1:58" x14ac:dyDescent="0.3">
      <c r="A60" s="55" t="s">
        <v>84</v>
      </c>
      <c r="B60" s="56" t="s">
        <v>108</v>
      </c>
      <c r="C60" s="56" t="s">
        <v>109</v>
      </c>
      <c r="D60" s="56" t="s">
        <v>110</v>
      </c>
      <c r="E60" s="56" t="s">
        <v>111</v>
      </c>
      <c r="F60" s="56" t="s">
        <v>89</v>
      </c>
      <c r="G60" s="56" t="s">
        <v>90</v>
      </c>
      <c r="H60" s="56" t="s">
        <v>112</v>
      </c>
      <c r="I60" s="56" t="s">
        <v>113</v>
      </c>
      <c r="J60" s="56" t="s">
        <v>114</v>
      </c>
      <c r="K60" s="56" t="s">
        <v>95</v>
      </c>
      <c r="L60" s="56" t="s">
        <v>96</v>
      </c>
      <c r="M60" s="56" t="s">
        <v>115</v>
      </c>
      <c r="N60" s="56" t="s">
        <v>116</v>
      </c>
      <c r="O60" s="87" t="s">
        <v>117</v>
      </c>
      <c r="P60" s="4"/>
      <c r="Q60" s="4"/>
      <c r="R60" s="4"/>
      <c r="S60" s="4"/>
      <c r="T60" s="4"/>
      <c r="U60" s="26"/>
      <c r="V60" s="122" t="s">
        <v>33</v>
      </c>
      <c r="W60" s="123" t="s">
        <v>34</v>
      </c>
      <c r="X60" s="124">
        <f>H14</f>
        <v>600.00000000000045</v>
      </c>
      <c r="Y60" s="124">
        <f t="shared" si="12"/>
        <v>809.99999999999966</v>
      </c>
      <c r="Z60" s="125">
        <f t="shared" si="12"/>
        <v>705.00000000001114</v>
      </c>
      <c r="AA60" s="27"/>
      <c r="AB60" s="27"/>
      <c r="AC60" s="85"/>
      <c r="AD60" s="27"/>
      <c r="AE60" s="27"/>
      <c r="AF60" s="27"/>
      <c r="AG60" s="27"/>
      <c r="AH60" s="27"/>
      <c r="AI60" s="27"/>
      <c r="AJ60" s="27"/>
      <c r="AK60" s="27"/>
      <c r="AL60" s="28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1:58" x14ac:dyDescent="0.3">
      <c r="A61" s="89">
        <v>1</v>
      </c>
      <c r="B61" s="126">
        <v>0.9859</v>
      </c>
      <c r="C61" s="126">
        <v>0.98909999999999998</v>
      </c>
      <c r="D61" s="126">
        <v>5.07</v>
      </c>
      <c r="E61" s="126">
        <v>5.1332000000000004</v>
      </c>
      <c r="F61" s="127">
        <v>2.1985999999999999</v>
      </c>
      <c r="G61" s="128">
        <v>2.2118000000000002</v>
      </c>
      <c r="H61" s="68">
        <f t="shared" ref="H61:I68" si="13">(F61-B61)*100/(D61-B61)</f>
        <v>29.69320046032173</v>
      </c>
      <c r="I61" s="68">
        <f t="shared" si="13"/>
        <v>29.504596896793029</v>
      </c>
      <c r="J61" s="68">
        <f t="shared" ref="J61:J68" si="14">AVERAGE(H61:I61)</f>
        <v>29.598898678557379</v>
      </c>
      <c r="K61" s="81">
        <v>1.4211</v>
      </c>
      <c r="L61" s="81">
        <v>1.4279999999999999</v>
      </c>
      <c r="M61" s="68">
        <f t="shared" ref="M61:N68" si="15">((F61-K61)/D61)*100</f>
        <v>15.335305719921099</v>
      </c>
      <c r="N61" s="68">
        <f t="shared" si="15"/>
        <v>15.269227772149929</v>
      </c>
      <c r="O61" s="129">
        <f t="shared" ref="O61:O68" si="16">AVERAGE(M61:N61)</f>
        <v>15.302266746035514</v>
      </c>
      <c r="P61" s="4"/>
      <c r="Q61" s="4"/>
      <c r="R61" s="4"/>
      <c r="S61" s="4"/>
      <c r="T61" s="4"/>
      <c r="U61" s="130"/>
      <c r="V61" s="131"/>
      <c r="W61" s="131"/>
      <c r="X61" s="131"/>
      <c r="Y61" s="131"/>
      <c r="Z61" s="131"/>
      <c r="AA61" s="131"/>
      <c r="AB61" s="131"/>
      <c r="AC61" s="132"/>
      <c r="AD61" s="131"/>
      <c r="AE61" s="131"/>
      <c r="AF61" s="131"/>
      <c r="AG61" s="131"/>
      <c r="AH61" s="133"/>
      <c r="AI61" s="131"/>
      <c r="AJ61" s="131"/>
      <c r="AK61" s="131"/>
      <c r="AL61" s="13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</row>
    <row r="62" spans="1:58" x14ac:dyDescent="0.3">
      <c r="A62" s="89">
        <v>2</v>
      </c>
      <c r="B62" s="128">
        <v>0.9919</v>
      </c>
      <c r="C62" s="128">
        <v>0.9909</v>
      </c>
      <c r="D62" s="128">
        <v>5.1154999999999999</v>
      </c>
      <c r="E62" s="128">
        <v>5.1928000000000001</v>
      </c>
      <c r="F62" s="127">
        <v>2.1739999999999999</v>
      </c>
      <c r="G62" s="128">
        <v>2.1692999999999998</v>
      </c>
      <c r="H62" s="68">
        <f t="shared" si="13"/>
        <v>28.666699000873024</v>
      </c>
      <c r="I62" s="68">
        <f t="shared" si="13"/>
        <v>28.044456079392653</v>
      </c>
      <c r="J62" s="68">
        <f t="shared" si="14"/>
        <v>28.355577540132838</v>
      </c>
      <c r="K62" s="135">
        <v>1.4224000000000001</v>
      </c>
      <c r="L62" s="135">
        <v>1.4177999999999999</v>
      </c>
      <c r="M62" s="68">
        <f t="shared" si="15"/>
        <v>14.692600918776266</v>
      </c>
      <c r="N62" s="68">
        <f t="shared" si="15"/>
        <v>14.471961177014325</v>
      </c>
      <c r="O62" s="129">
        <f t="shared" si="16"/>
        <v>14.582281047895297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</row>
    <row r="63" spans="1:58" x14ac:dyDescent="0.3">
      <c r="A63" s="89">
        <v>3</v>
      </c>
      <c r="B63" s="128">
        <v>1.0130999999999999</v>
      </c>
      <c r="C63" s="128">
        <v>0.99080000000000001</v>
      </c>
      <c r="D63" s="128">
        <v>5.0579999999999998</v>
      </c>
      <c r="E63" s="128">
        <v>5.5039999999999996</v>
      </c>
      <c r="F63" s="127">
        <v>2.1520000000000001</v>
      </c>
      <c r="G63" s="128">
        <v>2.3096000000000001</v>
      </c>
      <c r="H63" s="68">
        <f t="shared" si="13"/>
        <v>28.156443917031329</v>
      </c>
      <c r="I63" s="68">
        <f t="shared" si="13"/>
        <v>29.220951874501466</v>
      </c>
      <c r="J63" s="68">
        <f t="shared" si="14"/>
        <v>28.688697895766396</v>
      </c>
      <c r="K63" s="135">
        <v>1.431</v>
      </c>
      <c r="L63" s="135">
        <v>1.4774</v>
      </c>
      <c r="M63" s="68">
        <f t="shared" si="15"/>
        <v>14.254646105179916</v>
      </c>
      <c r="N63" s="68">
        <f t="shared" si="15"/>
        <v>15.119912790697676</v>
      </c>
      <c r="O63" s="129">
        <f t="shared" si="16"/>
        <v>14.687279447938796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</row>
    <row r="64" spans="1:58" ht="24" customHeight="1" x14ac:dyDescent="0.3">
      <c r="A64" s="89">
        <v>4</v>
      </c>
      <c r="B64" s="136">
        <v>0.98089999999999999</v>
      </c>
      <c r="C64" s="136">
        <v>0.98089999999999999</v>
      </c>
      <c r="D64" s="136">
        <v>5.1913999999999998</v>
      </c>
      <c r="E64" s="136">
        <v>5.1421000000000001</v>
      </c>
      <c r="F64" s="137">
        <v>2.2376999999999998</v>
      </c>
      <c r="G64" s="136">
        <v>2.2145000000000001</v>
      </c>
      <c r="H64" s="68">
        <f t="shared" si="13"/>
        <v>29.849186557415976</v>
      </c>
      <c r="I64" s="68">
        <f t="shared" si="13"/>
        <v>29.645294626550033</v>
      </c>
      <c r="J64" s="68">
        <f t="shared" si="14"/>
        <v>29.747240591983005</v>
      </c>
      <c r="K64" s="135">
        <v>1.4404999999999999</v>
      </c>
      <c r="L64" s="135">
        <v>1.4358</v>
      </c>
      <c r="M64" s="68">
        <f t="shared" si="15"/>
        <v>15.356165966791229</v>
      </c>
      <c r="N64" s="68">
        <f t="shared" si="15"/>
        <v>15.143618366037225</v>
      </c>
      <c r="O64" s="129">
        <f t="shared" si="16"/>
        <v>15.249892166414227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</row>
    <row r="65" spans="1:58" x14ac:dyDescent="0.3">
      <c r="A65" s="89">
        <v>5</v>
      </c>
      <c r="B65" s="136">
        <v>0.97940000000000005</v>
      </c>
      <c r="C65" s="136">
        <v>0.99990000000000001</v>
      </c>
      <c r="D65" s="136">
        <v>5.2652999999999999</v>
      </c>
      <c r="E65" s="136">
        <v>5.1174999999999997</v>
      </c>
      <c r="F65" s="137">
        <v>2.1164000000000001</v>
      </c>
      <c r="G65" s="136">
        <v>2.0558999999999998</v>
      </c>
      <c r="H65" s="68">
        <f t="shared" si="13"/>
        <v>26.528850416481955</v>
      </c>
      <c r="I65" s="68">
        <f t="shared" si="13"/>
        <v>25.646007382941519</v>
      </c>
      <c r="J65" s="68">
        <f t="shared" si="14"/>
        <v>26.087428899711739</v>
      </c>
      <c r="K65" s="135">
        <v>1.3894</v>
      </c>
      <c r="L65" s="135">
        <v>1.3804000000000001</v>
      </c>
      <c r="M65" s="68">
        <f t="shared" si="15"/>
        <v>13.807380396178756</v>
      </c>
      <c r="N65" s="68">
        <f t="shared" si="15"/>
        <v>13.199804592085975</v>
      </c>
      <c r="O65" s="129">
        <f t="shared" si="16"/>
        <v>13.503592494132366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1:58" x14ac:dyDescent="0.3">
      <c r="A66" s="89">
        <v>6</v>
      </c>
      <c r="B66" s="136">
        <v>0.98060000000000003</v>
      </c>
      <c r="C66" s="136">
        <v>0.98450000000000004</v>
      </c>
      <c r="D66" s="136">
        <v>5.1727999999999996</v>
      </c>
      <c r="E66" s="136">
        <v>5.0518000000000001</v>
      </c>
      <c r="F66" s="137">
        <v>2.2263000000000002</v>
      </c>
      <c r="G66" s="136">
        <v>2.1789000000000001</v>
      </c>
      <c r="H66" s="68">
        <f t="shared" si="13"/>
        <v>29.714708267735325</v>
      </c>
      <c r="I66" s="68">
        <f t="shared" si="13"/>
        <v>29.365918422540748</v>
      </c>
      <c r="J66" s="68">
        <f t="shared" si="14"/>
        <v>29.540313345138038</v>
      </c>
      <c r="K66" s="135">
        <v>1.4311</v>
      </c>
      <c r="L66" s="135">
        <v>1.4147000000000001</v>
      </c>
      <c r="M66" s="68">
        <f t="shared" si="15"/>
        <v>15.372718836993506</v>
      </c>
      <c r="N66" s="68">
        <f t="shared" si="15"/>
        <v>15.127281365057998</v>
      </c>
      <c r="O66" s="129">
        <f t="shared" si="16"/>
        <v>15.250000101025751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</row>
    <row r="67" spans="1:58" x14ac:dyDescent="0.3">
      <c r="A67" s="138" t="s">
        <v>118</v>
      </c>
      <c r="B67" s="136">
        <v>0.98680000000000001</v>
      </c>
      <c r="C67" s="136">
        <v>0.99739999999999995</v>
      </c>
      <c r="D67" s="136">
        <v>5.2389000000000001</v>
      </c>
      <c r="E67" s="136">
        <v>5.0125999999999999</v>
      </c>
      <c r="F67" s="136">
        <v>2.2031999999999998</v>
      </c>
      <c r="G67" s="136">
        <v>2.1509</v>
      </c>
      <c r="H67" s="68">
        <f t="shared" si="13"/>
        <v>28.607041226687979</v>
      </c>
      <c r="I67" s="68">
        <f t="shared" si="13"/>
        <v>28.728332337118953</v>
      </c>
      <c r="J67" s="68">
        <f t="shared" si="14"/>
        <v>28.667686781903466</v>
      </c>
      <c r="K67" s="135">
        <v>1.4345000000000001</v>
      </c>
      <c r="L67" s="135">
        <v>1.425</v>
      </c>
      <c r="M67" s="68">
        <f t="shared" si="15"/>
        <v>14.672927522953286</v>
      </c>
      <c r="N67" s="68">
        <f t="shared" si="15"/>
        <v>14.481506603359534</v>
      </c>
      <c r="O67" s="129">
        <f t="shared" si="16"/>
        <v>14.577217063156411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1:58" x14ac:dyDescent="0.3">
      <c r="A68" s="109" t="s">
        <v>119</v>
      </c>
      <c r="B68" s="139">
        <v>1.0106999999999999</v>
      </c>
      <c r="C68" s="139">
        <v>1.0055000000000001</v>
      </c>
      <c r="D68" s="139">
        <v>5.2603999999999997</v>
      </c>
      <c r="E68" s="139">
        <v>5.0625999999999998</v>
      </c>
      <c r="F68" s="139">
        <v>1.1589</v>
      </c>
      <c r="G68" s="139">
        <v>1.1487000000000001</v>
      </c>
      <c r="H68" s="68">
        <f t="shared" si="13"/>
        <v>3.4873049862343253</v>
      </c>
      <c r="I68" s="68">
        <f t="shared" si="13"/>
        <v>3.5296147494515786</v>
      </c>
      <c r="J68" s="68">
        <f t="shared" si="14"/>
        <v>3.5084598678429519</v>
      </c>
      <c r="K68" s="140">
        <v>1.0619000000000001</v>
      </c>
      <c r="L68" s="140">
        <v>1.0559000000000001</v>
      </c>
      <c r="M68" s="141">
        <f t="shared" si="15"/>
        <v>1.8439662383088733</v>
      </c>
      <c r="N68" s="141">
        <f t="shared" si="15"/>
        <v>1.8330502113538496</v>
      </c>
      <c r="O68" s="142">
        <f t="shared" si="16"/>
        <v>1.8385082248313616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70" spans="1:58" s="162" customFormat="1" ht="99" customHeight="1" x14ac:dyDescent="0.3">
      <c r="A70" s="143" t="s">
        <v>64</v>
      </c>
      <c r="B70" s="144" t="s">
        <v>120</v>
      </c>
      <c r="C70" s="144" t="s">
        <v>121</v>
      </c>
      <c r="D70" s="145" t="s">
        <v>122</v>
      </c>
      <c r="E70" s="146" t="s">
        <v>123</v>
      </c>
      <c r="F70" s="147" t="s">
        <v>124</v>
      </c>
      <c r="G70" s="148" t="s">
        <v>125</v>
      </c>
      <c r="H70" s="145" t="s">
        <v>126</v>
      </c>
      <c r="I70" s="149" t="s">
        <v>127</v>
      </c>
      <c r="J70" s="150" t="s">
        <v>128</v>
      </c>
      <c r="K70" s="150" t="s">
        <v>129</v>
      </c>
      <c r="L70" s="150" t="s">
        <v>130</v>
      </c>
      <c r="M70" s="151" t="s">
        <v>128</v>
      </c>
      <c r="N70" s="151" t="s">
        <v>129</v>
      </c>
      <c r="O70" s="151" t="s">
        <v>130</v>
      </c>
      <c r="P70" s="151" t="s">
        <v>131</v>
      </c>
      <c r="Q70" s="152" t="s">
        <v>132</v>
      </c>
      <c r="R70" s="153" t="s">
        <v>124</v>
      </c>
      <c r="S70" s="154" t="s">
        <v>125</v>
      </c>
      <c r="T70" s="155" t="s">
        <v>126</v>
      </c>
      <c r="U70" s="154" t="s">
        <v>127</v>
      </c>
      <c r="V70" s="155" t="s">
        <v>128</v>
      </c>
      <c r="W70" s="155" t="s">
        <v>129</v>
      </c>
      <c r="X70" s="155" t="s">
        <v>130</v>
      </c>
      <c r="Y70" s="156" t="s">
        <v>128</v>
      </c>
      <c r="Z70" s="156" t="s">
        <v>129</v>
      </c>
      <c r="AA70" s="156" t="s">
        <v>130</v>
      </c>
      <c r="AB70" s="157"/>
      <c r="AC70" s="158" t="s">
        <v>133</v>
      </c>
      <c r="AD70" s="147" t="s">
        <v>124</v>
      </c>
      <c r="AE70" s="148" t="s">
        <v>125</v>
      </c>
      <c r="AF70" s="145" t="s">
        <v>126</v>
      </c>
      <c r="AG70" s="148" t="s">
        <v>127</v>
      </c>
      <c r="AH70" s="145" t="s">
        <v>134</v>
      </c>
      <c r="AI70" s="145" t="s">
        <v>135</v>
      </c>
      <c r="AJ70" s="145" t="s">
        <v>136</v>
      </c>
      <c r="AK70" s="145" t="s">
        <v>137</v>
      </c>
      <c r="AL70" s="145" t="s">
        <v>138</v>
      </c>
      <c r="AM70" s="145" t="s">
        <v>139</v>
      </c>
      <c r="AN70" s="145" t="s">
        <v>140</v>
      </c>
      <c r="AO70" s="159" t="s">
        <v>134</v>
      </c>
      <c r="AP70" s="159" t="s">
        <v>135</v>
      </c>
      <c r="AQ70" s="160" t="s">
        <v>136</v>
      </c>
      <c r="AR70" s="159" t="s">
        <v>141</v>
      </c>
      <c r="AS70" s="161" t="s">
        <v>142</v>
      </c>
      <c r="AT70" s="147" t="s">
        <v>143</v>
      </c>
      <c r="AU70" s="145" t="s">
        <v>144</v>
      </c>
      <c r="AV70" s="145" t="s">
        <v>145</v>
      </c>
      <c r="AW70" s="145" t="s">
        <v>146</v>
      </c>
      <c r="AX70" s="161"/>
    </row>
    <row r="71" spans="1:58" s="172" customFormat="1" x14ac:dyDescent="0.3">
      <c r="A71" s="163">
        <f t="shared" ref="A71:A76" si="17">I33</f>
        <v>17.01308560441484</v>
      </c>
      <c r="B71" s="149">
        <f t="shared" ref="B71:B76" si="18">C41</f>
        <v>47.966666666666669</v>
      </c>
      <c r="C71" s="149">
        <f t="shared" ref="C71:C76" si="19">B41</f>
        <v>121.6</v>
      </c>
      <c r="D71" s="149">
        <f t="shared" ref="D71:D76" si="20">J61</f>
        <v>29.598898678557379</v>
      </c>
      <c r="E71" s="164">
        <f t="shared" ref="E71:E76" si="21">K50*1000</f>
        <v>1190.0000000000023</v>
      </c>
      <c r="F71" s="163">
        <f>AVERAGE(B71)</f>
        <v>47.966666666666669</v>
      </c>
      <c r="G71" s="149">
        <f>F71-B71</f>
        <v>0</v>
      </c>
      <c r="H71" s="149">
        <v>20</v>
      </c>
      <c r="I71" s="149">
        <f>IF(AND(G71&gt;H71,G72&gt;H72),1,2)</f>
        <v>2</v>
      </c>
      <c r="J71" s="165" t="e">
        <f>INDEX(A71:A76,MATCH(1,I71:I76,0))</f>
        <v>#N/A</v>
      </c>
      <c r="K71" s="165" t="e">
        <f>INDEX(D71:D76,MATCH(1,I71:I76,0))</f>
        <v>#N/A</v>
      </c>
      <c r="L71" s="165" t="e">
        <f>INDEX(E71:E76,MATCH(1,I71:I76,0))</f>
        <v>#N/A</v>
      </c>
      <c r="M71" s="165" t="e">
        <f>J71</f>
        <v>#N/A</v>
      </c>
      <c r="N71" s="165" t="e">
        <f>K71</f>
        <v>#N/A</v>
      </c>
      <c r="O71" s="165" t="e">
        <f>L71</f>
        <v>#N/A</v>
      </c>
      <c r="P71" s="165"/>
      <c r="Q71" s="166"/>
      <c r="R71" s="167">
        <f>AVERAGE(C71)</f>
        <v>121.6</v>
      </c>
      <c r="S71" s="168">
        <f>R71-C71</f>
        <v>0</v>
      </c>
      <c r="T71" s="168">
        <v>20</v>
      </c>
      <c r="U71" s="168">
        <f>IF(AND(S71&gt;T71,S72&gt;T72),1,2)</f>
        <v>2</v>
      </c>
      <c r="V71" s="168">
        <f>INDEX(A71:A75,MATCH(1,U71:U76,0))</f>
        <v>26.603128665134808</v>
      </c>
      <c r="W71" s="168">
        <f>INDEX(D71:D76,MATCH(1,U71:U76,0))</f>
        <v>26.087428899711739</v>
      </c>
      <c r="X71" s="168">
        <f>INDEX(E71:E75,MATCH(1,U71:U75,0))</f>
        <v>809.99999999999966</v>
      </c>
      <c r="Y71" s="168">
        <f>V71</f>
        <v>26.603128665134808</v>
      </c>
      <c r="Z71" s="168">
        <f>W71</f>
        <v>26.087428899711739</v>
      </c>
      <c r="AA71" s="168">
        <f>X71</f>
        <v>809.99999999999966</v>
      </c>
      <c r="AB71" s="169"/>
      <c r="AC71" s="170"/>
      <c r="AD71" s="163">
        <f>AVERAGE(D71)</f>
        <v>29.598898678557379</v>
      </c>
      <c r="AE71" s="149">
        <f>AD71-D71</f>
        <v>0</v>
      </c>
      <c r="AF71" s="149">
        <v>20</v>
      </c>
      <c r="AG71" s="149">
        <f>IF(AND(AE71&gt;AF71,AE72&gt;AF72),1,2)</f>
        <v>2</v>
      </c>
      <c r="AH71" s="149">
        <f>A72</f>
        <v>18.736554961438362</v>
      </c>
      <c r="AI71" s="149" t="e">
        <f>INDEX(D71:D75,MATCH(1,AG71:AG76,0))</f>
        <v>#N/A</v>
      </c>
      <c r="AJ71" s="149" t="e">
        <f>INDEX(E71:E75,MATCH(1,AG71:AG75,0))</f>
        <v>#N/A</v>
      </c>
      <c r="AK71" s="149">
        <v>812</v>
      </c>
      <c r="AL71" s="171" t="e">
        <f>IF(AND(ISNUMBER(AH71), AH71&lt;AK71), AJ71,"")</f>
        <v>#N/A</v>
      </c>
      <c r="AM71" s="149"/>
      <c r="AN71" s="149" t="e">
        <f>IF((AK71&gt;AL71),1,2)</f>
        <v>#N/A</v>
      </c>
      <c r="AO71" s="149">
        <f>A74</f>
        <v>23.899659713224764</v>
      </c>
      <c r="AP71" s="149">
        <f>D74</f>
        <v>29.747240591983005</v>
      </c>
      <c r="AQ71" s="149">
        <f>E74</f>
        <v>705.00000000001114</v>
      </c>
      <c r="AR71" s="149" t="s">
        <v>147</v>
      </c>
      <c r="AS71" s="164"/>
      <c r="AT71" s="163">
        <f>D15</f>
        <v>21.710526315789476</v>
      </c>
      <c r="AU71" s="149">
        <f>J67</f>
        <v>28.667686781903466</v>
      </c>
      <c r="AV71" s="149">
        <f>P56</f>
        <v>600.00000000000045</v>
      </c>
      <c r="AW71" s="149">
        <f>J68</f>
        <v>3.5084598678429519</v>
      </c>
      <c r="AX71" s="164"/>
    </row>
    <row r="72" spans="1:58" s="172" customFormat="1" x14ac:dyDescent="0.3">
      <c r="A72" s="163">
        <f t="shared" si="17"/>
        <v>18.736554961438362</v>
      </c>
      <c r="B72" s="149">
        <f t="shared" si="18"/>
        <v>45.05</v>
      </c>
      <c r="C72" s="149">
        <f t="shared" si="19"/>
        <v>114.43333333333334</v>
      </c>
      <c r="D72" s="149">
        <f t="shared" si="20"/>
        <v>28.355577540132838</v>
      </c>
      <c r="E72" s="164">
        <f t="shared" si="21"/>
        <v>1145.000000000007</v>
      </c>
      <c r="F72" s="163">
        <f>AVERAGE(B71:B72)</f>
        <v>46.508333333333333</v>
      </c>
      <c r="G72" s="149">
        <f>(F71-B72)*100/F71</f>
        <v>6.0806115357887522</v>
      </c>
      <c r="H72" s="149">
        <v>20</v>
      </c>
      <c r="I72" s="149">
        <f>IF(AND(G71&gt;H71,G72&gt;H72,G73&lt;H73),1,2)</f>
        <v>2</v>
      </c>
      <c r="J72" s="165"/>
      <c r="K72" s="165"/>
      <c r="L72" s="165"/>
      <c r="M72" s="173"/>
      <c r="N72" s="165"/>
      <c r="O72" s="165"/>
      <c r="P72" s="165"/>
      <c r="Q72" s="166"/>
      <c r="R72" s="167">
        <f>AVERAGE(C71:C72)</f>
        <v>118.01666666666667</v>
      </c>
      <c r="S72" s="168">
        <f>(R71-C72)*100/R71</f>
        <v>5.8936403508771855</v>
      </c>
      <c r="T72" s="168">
        <v>20</v>
      </c>
      <c r="U72" s="168">
        <f>IF(AND(S71&gt;T71,S72&gt;T72,S73&lt;T73),1,2)</f>
        <v>2</v>
      </c>
      <c r="V72" s="168"/>
      <c r="W72" s="168"/>
      <c r="X72" s="168"/>
      <c r="Y72" s="168"/>
      <c r="Z72" s="168"/>
      <c r="AA72" s="168"/>
      <c r="AB72" s="169"/>
      <c r="AC72" s="170"/>
      <c r="AD72" s="163">
        <f>AVERAGE(D71:D72)</f>
        <v>28.977238109345109</v>
      </c>
      <c r="AE72" s="149">
        <f>(AD71-D72)*100/AD71</f>
        <v>4.2005655410593112</v>
      </c>
      <c r="AF72" s="149">
        <v>20</v>
      </c>
      <c r="AG72" s="149">
        <f>IF(AND(AE71&gt;AF71,AE72&gt;AF72,AE73&lt;AF73),1,2)</f>
        <v>2</v>
      </c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64"/>
      <c r="AT72" s="163"/>
      <c r="AU72" s="149"/>
      <c r="AV72" s="149"/>
      <c r="AW72" s="149"/>
      <c r="AX72" s="164"/>
    </row>
    <row r="73" spans="1:58" s="172" customFormat="1" x14ac:dyDescent="0.3">
      <c r="A73" s="163">
        <f t="shared" si="17"/>
        <v>21.415013228658076</v>
      </c>
      <c r="B73" s="149">
        <f t="shared" si="18"/>
        <v>43.933333333333337</v>
      </c>
      <c r="C73" s="149">
        <f t="shared" si="19"/>
        <v>55.6</v>
      </c>
      <c r="D73" s="149">
        <f t="shared" si="20"/>
        <v>28.688697895766396</v>
      </c>
      <c r="E73" s="164">
        <f t="shared" si="21"/>
        <v>984.99999999999147</v>
      </c>
      <c r="F73" s="163">
        <f>AVERAGE(B72:B73)</f>
        <v>44.491666666666667</v>
      </c>
      <c r="G73" s="149">
        <f>(F72-B73)*100/F72</f>
        <v>5.5366421788209905</v>
      </c>
      <c r="H73" s="149">
        <v>20</v>
      </c>
      <c r="I73" s="149">
        <f>IF(AND(G72&gt;H72,G73&gt;H73,G74&lt;H74),1,2)</f>
        <v>2</v>
      </c>
      <c r="J73" s="165"/>
      <c r="K73" s="165"/>
      <c r="L73" s="165"/>
      <c r="M73" s="165"/>
      <c r="N73" s="165"/>
      <c r="O73" s="165"/>
      <c r="P73" s="165"/>
      <c r="Q73" s="166"/>
      <c r="R73" s="167">
        <f>AVERAGE(C72:C73)</f>
        <v>85.016666666666666</v>
      </c>
      <c r="S73" s="168">
        <f>(R72-C73)*100/R72</f>
        <v>52.888010168055352</v>
      </c>
      <c r="T73" s="168">
        <v>20</v>
      </c>
      <c r="U73" s="168">
        <f>IF(AND(S72&gt;T72,S73&gt;T73,S74&lt;T74),1,2)</f>
        <v>2</v>
      </c>
      <c r="V73" s="168"/>
      <c r="W73" s="168"/>
      <c r="X73" s="168"/>
      <c r="Y73" s="168"/>
      <c r="Z73" s="168"/>
      <c r="AA73" s="168"/>
      <c r="AB73" s="169"/>
      <c r="AC73" s="170"/>
      <c r="AD73" s="163">
        <f>AVERAGE(D72:D73)</f>
        <v>28.522137717949619</v>
      </c>
      <c r="AE73" s="149">
        <f>(AD72-D73)*100/AD72</f>
        <v>0.99574780898687321</v>
      </c>
      <c r="AF73" s="149">
        <v>20</v>
      </c>
      <c r="AG73" s="149">
        <f>IF(AND(AE72&gt;AF72,AE73&gt;AF73,AE74&lt;AF74),1,2)</f>
        <v>2</v>
      </c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64"/>
      <c r="AT73" s="163"/>
      <c r="AU73" s="149"/>
      <c r="AV73" s="149"/>
      <c r="AW73" s="149"/>
      <c r="AX73" s="164"/>
    </row>
    <row r="74" spans="1:58" s="172" customFormat="1" x14ac:dyDescent="0.3">
      <c r="A74" s="163">
        <f t="shared" si="17"/>
        <v>23.899659713224764</v>
      </c>
      <c r="B74" s="149">
        <f t="shared" si="18"/>
        <v>39.800000000000004</v>
      </c>
      <c r="C74" s="149">
        <f t="shared" si="19"/>
        <v>49.2</v>
      </c>
      <c r="D74" s="149">
        <f t="shared" si="20"/>
        <v>29.747240591983005</v>
      </c>
      <c r="E74" s="164">
        <f t="shared" si="21"/>
        <v>705.00000000001114</v>
      </c>
      <c r="F74" s="163">
        <f>AVERAGE(B73:B74)</f>
        <v>41.866666666666674</v>
      </c>
      <c r="G74" s="149">
        <f>(F73-B74)*100/F73</f>
        <v>10.545045888743202</v>
      </c>
      <c r="H74" s="149">
        <v>20</v>
      </c>
      <c r="I74" s="149">
        <f>IF(AND(G73&gt;H73,G74&gt;H74,G75&lt;H75),1,2)</f>
        <v>2</v>
      </c>
      <c r="J74" s="165"/>
      <c r="K74" s="165"/>
      <c r="L74" s="165"/>
      <c r="M74" s="165"/>
      <c r="N74" s="165"/>
      <c r="O74" s="165"/>
      <c r="P74" s="165"/>
      <c r="Q74" s="166"/>
      <c r="R74" s="167">
        <f>AVERAGE(C73:C74)</f>
        <v>52.400000000000006</v>
      </c>
      <c r="S74" s="168">
        <f>(R73-C74)*100/R73</f>
        <v>42.12899431484022</v>
      </c>
      <c r="T74" s="168">
        <v>20</v>
      </c>
      <c r="U74" s="168">
        <f>IF(AND(S73&gt;T73,S74&gt;T74,S75&lt;T75),1,2)</f>
        <v>2</v>
      </c>
      <c r="V74" s="168"/>
      <c r="W74" s="168"/>
      <c r="X74" s="168"/>
      <c r="Y74" s="168"/>
      <c r="Z74" s="168"/>
      <c r="AA74" s="168"/>
      <c r="AB74" s="169"/>
      <c r="AC74" s="170"/>
      <c r="AD74" s="163">
        <f>AVERAGE(D73:D74)</f>
        <v>29.217969243874698</v>
      </c>
      <c r="AE74" s="149">
        <f>(AD73-D74)*100/AD73</f>
        <v>-4.2952701727626863</v>
      </c>
      <c r="AF74" s="149">
        <v>20</v>
      </c>
      <c r="AG74" s="149">
        <f>IF(AND(AE73&gt;AF73,AE74&gt;AF74,AE75&lt;AF75),1,2)</f>
        <v>2</v>
      </c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64"/>
      <c r="AT74" s="163"/>
      <c r="AU74" s="149"/>
      <c r="AV74" s="149"/>
      <c r="AW74" s="149"/>
      <c r="AX74" s="164"/>
    </row>
    <row r="75" spans="1:58" s="172" customFormat="1" x14ac:dyDescent="0.3">
      <c r="A75" s="163">
        <f t="shared" si="17"/>
        <v>26.603128665134808</v>
      </c>
      <c r="B75" s="149">
        <f t="shared" si="18"/>
        <v>34.049999999999997</v>
      </c>
      <c r="C75" s="149">
        <f t="shared" si="19"/>
        <v>40.549999999999997</v>
      </c>
      <c r="D75" s="149">
        <f t="shared" si="20"/>
        <v>26.087428899711739</v>
      </c>
      <c r="E75" s="164">
        <f t="shared" si="21"/>
        <v>809.99999999999966</v>
      </c>
      <c r="F75" s="163">
        <f>AVERAGE(B74:B75)</f>
        <v>36.924999999999997</v>
      </c>
      <c r="G75" s="149">
        <f>(F74-B75)*100/F74</f>
        <v>18.670382165605115</v>
      </c>
      <c r="H75" s="149">
        <v>20</v>
      </c>
      <c r="I75" s="149">
        <f>IF(AND(G74&gt;H74,G75&gt;H75,G76&lt;H76),1,2)</f>
        <v>2</v>
      </c>
      <c r="J75" s="165"/>
      <c r="K75" s="165"/>
      <c r="L75" s="165"/>
      <c r="M75" s="165"/>
      <c r="N75" s="165"/>
      <c r="O75" s="165"/>
      <c r="P75" s="165"/>
      <c r="Q75" s="166"/>
      <c r="R75" s="167">
        <f>AVERAGE(C74:C75)</f>
        <v>44.875</v>
      </c>
      <c r="S75" s="168">
        <f>(R74-C75)*100/R74</f>
        <v>22.614503816793906</v>
      </c>
      <c r="T75" s="168">
        <v>20</v>
      </c>
      <c r="U75" s="168">
        <f>IF(AND(S74&gt;T74,S75&gt;T75,S76&lt;T76),1,2)</f>
        <v>1</v>
      </c>
      <c r="V75" s="168"/>
      <c r="W75" s="168"/>
      <c r="X75" s="168"/>
      <c r="Y75" s="168"/>
      <c r="Z75" s="168"/>
      <c r="AA75" s="168"/>
      <c r="AB75" s="169"/>
      <c r="AC75" s="170"/>
      <c r="AD75" s="163">
        <f>AVERAGE(D74:D75)</f>
        <v>27.91733474584737</v>
      </c>
      <c r="AE75" s="149">
        <f>(AD74-D75)*100/AD74</f>
        <v>10.714435072585516</v>
      </c>
      <c r="AF75" s="149">
        <v>20</v>
      </c>
      <c r="AG75" s="149">
        <f>IF(AND(AE74&gt;AF74,AE75&gt;AF75,AE76&lt;AF76),1,2)</f>
        <v>2</v>
      </c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64"/>
      <c r="AT75" s="163"/>
      <c r="AU75" s="149"/>
      <c r="AV75" s="149"/>
      <c r="AW75" s="149"/>
      <c r="AX75" s="164"/>
    </row>
    <row r="76" spans="1:58" s="172" customFormat="1" x14ac:dyDescent="0.3">
      <c r="A76" s="163">
        <f t="shared" si="17"/>
        <v>29.139709765458161</v>
      </c>
      <c r="B76" s="149">
        <f t="shared" si="18"/>
        <v>24.033333333333331</v>
      </c>
      <c r="C76" s="149">
        <f t="shared" si="19"/>
        <v>39.833333333333336</v>
      </c>
      <c r="D76" s="149">
        <f t="shared" si="20"/>
        <v>29.540313345138038</v>
      </c>
      <c r="E76" s="164">
        <f t="shared" si="21"/>
        <v>424.99999999999761</v>
      </c>
      <c r="F76" s="163">
        <f>AVERAGE(B75:B76)</f>
        <v>29.041666666666664</v>
      </c>
      <c r="G76" s="149">
        <f>(F75-B76)*100/F75</f>
        <v>34.913112164296997</v>
      </c>
      <c r="H76" s="149">
        <v>20</v>
      </c>
      <c r="I76" s="149">
        <f>IF(AND(G75&gt;H75,G76&gt;H76),1,2)</f>
        <v>2</v>
      </c>
      <c r="J76" s="165"/>
      <c r="K76" s="165"/>
      <c r="L76" s="165"/>
      <c r="M76" s="165"/>
      <c r="N76" s="165"/>
      <c r="O76" s="165"/>
      <c r="P76" s="165"/>
      <c r="Q76" s="166"/>
      <c r="R76" s="167">
        <f>AVERAGE(C75:C76)</f>
        <v>40.191666666666663</v>
      </c>
      <c r="S76" s="168">
        <f>(R75-C76)*100/R75</f>
        <v>11.23491179201485</v>
      </c>
      <c r="T76" s="168">
        <v>20</v>
      </c>
      <c r="U76" s="168">
        <f>IF(AND(S75&gt;T75,S76&gt;T76),1,2)</f>
        <v>2</v>
      </c>
      <c r="V76" s="168"/>
      <c r="W76" s="168"/>
      <c r="X76" s="168"/>
      <c r="Y76" s="168"/>
      <c r="Z76" s="168"/>
      <c r="AA76" s="168"/>
      <c r="AB76" s="169"/>
      <c r="AC76" s="170"/>
      <c r="AD76" s="163">
        <f>AVERAGE(D75:D76)</f>
        <v>27.813871122424889</v>
      </c>
      <c r="AE76" s="149">
        <f>(AD75-D76)*100/AD75</f>
        <v>-5.8135155596544985</v>
      </c>
      <c r="AF76" s="149">
        <v>20</v>
      </c>
      <c r="AG76" s="149">
        <f>IF(AND(AE75&gt;AF75,AE76&gt;AF76),1,2)</f>
        <v>2</v>
      </c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64"/>
      <c r="AT76" s="163"/>
      <c r="AU76" s="149"/>
      <c r="AV76" s="149"/>
      <c r="AW76" s="149"/>
      <c r="AX76" s="164"/>
    </row>
  </sheetData>
  <mergeCells count="15">
    <mergeCell ref="U5:AL7"/>
    <mergeCell ref="A7:D7"/>
    <mergeCell ref="A17:C17"/>
    <mergeCell ref="A23:C23"/>
    <mergeCell ref="A26:C26"/>
    <mergeCell ref="A31:R31"/>
    <mergeCell ref="A39:M39"/>
    <mergeCell ref="D40:H40"/>
    <mergeCell ref="I40:M40"/>
    <mergeCell ref="U43:AC44"/>
    <mergeCell ref="AD43:AL44"/>
    <mergeCell ref="X47:Z47"/>
    <mergeCell ref="A48:P48"/>
    <mergeCell ref="V52:Z52"/>
    <mergeCell ref="A59:O59"/>
  </mergeCells>
  <conditionalFormatting sqref="X56">
    <cfRule type="cellIs" dxfId="13" priority="2" operator="lessThan">
      <formula>3</formula>
    </cfRule>
    <cfRule type="cellIs" dxfId="12" priority="3" operator="greaterThan">
      <formula>3.9</formula>
    </cfRule>
    <cfRule type="cellIs" dxfId="11" priority="4" operator="between">
      <formula>3</formula>
      <formula>3.9</formula>
    </cfRule>
    <cfRule type="cellIs" dxfId="10" priority="5" operator="between">
      <formula>3</formula>
      <formula>3.9</formula>
    </cfRule>
    <cfRule type="cellIs" dxfId="9" priority="6" operator="between">
      <formula>3.15</formula>
      <formula>3.85</formula>
    </cfRule>
  </conditionalFormatting>
  <conditionalFormatting sqref="X60:Z60">
    <cfRule type="cellIs" dxfId="8" priority="7" operator="greaterThan">
      <formula>812</formula>
    </cfRule>
    <cfRule type="cellIs" dxfId="7" priority="8" operator="lessThan">
      <formula>812</formula>
    </cfRule>
  </conditionalFormatting>
  <printOptions horizontalCentered="1"/>
  <pageMargins left="0.25" right="0.25" top="1.25" bottom="1" header="0.511811023622047" footer="0.511811023622047"/>
  <pageSetup paperSize="9" orientation="portrait" horizontalDpi="300" verticalDpi="300"/>
  <rowBreaks count="4" manualBreakCount="4">
    <brk id="15" max="16383" man="1"/>
    <brk id="18" max="16383" man="1"/>
    <brk id="22" max="16383" man="1"/>
    <brk id="31" max="16383" man="1"/>
  </rowBreaks>
  <colBreaks count="3" manualBreakCount="3">
    <brk id="40" max="1048575" man="1"/>
    <brk id="44" max="1048575" man="1"/>
    <brk id="54" max="1048575" man="1"/>
  </colBreak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76"/>
  <sheetViews>
    <sheetView topLeftCell="B57" zoomScaleNormal="100" workbookViewId="0">
      <selection activeCell="J68" sqref="J68"/>
    </sheetView>
  </sheetViews>
  <sheetFormatPr defaultColWidth="8.6640625" defaultRowHeight="15.6" outlineLevelRow="2" x14ac:dyDescent="0.3"/>
  <cols>
    <col min="1" max="1" width="39.44140625" style="2" customWidth="1"/>
    <col min="2" max="2" width="26.33203125" style="2" customWidth="1"/>
    <col min="3" max="3" width="32.33203125" style="2" customWidth="1"/>
    <col min="4" max="4" width="22.33203125" style="2" customWidth="1"/>
    <col min="5" max="5" width="23.21875" style="2" customWidth="1"/>
    <col min="6" max="6" width="25.6640625" style="2" customWidth="1"/>
    <col min="7" max="8" width="16.6640625" style="2" customWidth="1"/>
    <col min="9" max="9" width="18.44140625" style="2" customWidth="1"/>
    <col min="10" max="10" width="15.6640625" style="2" customWidth="1"/>
    <col min="11" max="11" width="16.44140625" style="2" customWidth="1"/>
    <col min="12" max="12" width="16.6640625" style="2" customWidth="1"/>
    <col min="13" max="13" width="17.33203125" style="2" customWidth="1"/>
    <col min="14" max="14" width="10.33203125" style="2" customWidth="1"/>
    <col min="15" max="15" width="11" style="2" customWidth="1"/>
    <col min="16" max="16" width="18.6640625" style="2" customWidth="1"/>
    <col min="17" max="17" width="11" style="2" customWidth="1"/>
    <col min="18" max="21" width="11.6640625" style="2" customWidth="1"/>
    <col min="22" max="22" width="22.33203125" style="2" customWidth="1"/>
    <col min="23" max="25" width="11.6640625" style="2" customWidth="1"/>
    <col min="26" max="26" width="21.33203125" style="2" customWidth="1"/>
    <col min="27" max="34" width="11.6640625" style="2" customWidth="1"/>
    <col min="35" max="35" width="13.33203125" style="2" customWidth="1"/>
    <col min="36" max="36" width="14.6640625" style="2" customWidth="1"/>
    <col min="37" max="37" width="11.6640625" style="2" customWidth="1"/>
    <col min="38" max="38" width="9.44140625" style="2" customWidth="1"/>
    <col min="39" max="39" width="8.33203125" style="2" customWidth="1"/>
    <col min="40" max="40" width="7.44140625" style="2" customWidth="1"/>
    <col min="41" max="42" width="8.6640625" style="2"/>
    <col min="43" max="43" width="8.44140625" style="2" customWidth="1"/>
    <col min="44" max="16384" width="8.6640625" style="2"/>
  </cols>
  <sheetData>
    <row r="1" spans="1:57" x14ac:dyDescent="0.3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x14ac:dyDescent="0.3">
      <c r="A2" s="6"/>
      <c r="B2" s="7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x14ac:dyDescent="0.3">
      <c r="A3" s="6"/>
      <c r="B3" s="7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7" x14ac:dyDescent="0.3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ht="34.5" customHeight="1" x14ac:dyDescent="0.3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85" t="s">
        <v>148</v>
      </c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</row>
    <row r="7" spans="1:57" x14ac:dyDescent="0.3">
      <c r="A7" s="186"/>
      <c r="B7" s="186"/>
      <c r="C7" s="186"/>
      <c r="D7" s="186"/>
      <c r="E7" s="4"/>
      <c r="F7" s="8" t="s">
        <v>5</v>
      </c>
      <c r="G7" s="9"/>
      <c r="H7" s="9"/>
      <c r="I7" s="9"/>
      <c r="J7" s="9"/>
      <c r="K7" s="4"/>
      <c r="L7" s="4"/>
      <c r="M7" s="4"/>
      <c r="N7" s="4"/>
      <c r="O7" s="4"/>
      <c r="P7" s="4"/>
      <c r="Q7" s="4"/>
      <c r="R7" s="4"/>
      <c r="S7" s="4"/>
      <c r="T7" s="4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">
      <c r="A8" s="10" t="s">
        <v>6</v>
      </c>
      <c r="B8" s="11" t="s">
        <v>149</v>
      </c>
      <c r="C8" s="12" t="s">
        <v>8</v>
      </c>
      <c r="D8" s="13">
        <f>D10*B11*8.34*10000</f>
        <v>415.04276879999998</v>
      </c>
      <c r="E8" s="4"/>
      <c r="F8" s="14"/>
      <c r="G8" s="15"/>
      <c r="H8" s="15"/>
      <c r="I8" s="16" t="s">
        <v>9</v>
      </c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0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7" x14ac:dyDescent="0.3">
      <c r="A9" s="21" t="s">
        <v>10</v>
      </c>
      <c r="B9" s="11">
        <v>0.17699999999999999</v>
      </c>
      <c r="C9" s="22" t="s">
        <v>11</v>
      </c>
      <c r="D9" s="23">
        <f>B9*B10</f>
        <v>13.823699999999999</v>
      </c>
      <c r="E9" s="4"/>
      <c r="F9" s="24"/>
      <c r="G9" s="25" t="s">
        <v>12</v>
      </c>
      <c r="H9" s="25" t="s">
        <v>13</v>
      </c>
      <c r="I9" s="25" t="s">
        <v>14</v>
      </c>
      <c r="J9" s="25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8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3">
      <c r="A10" s="21" t="s">
        <v>16</v>
      </c>
      <c r="B10" s="29">
        <v>78.099999999999994</v>
      </c>
      <c r="C10" s="22" t="s">
        <v>17</v>
      </c>
      <c r="D10" s="23">
        <f>D9*1440/1000000</f>
        <v>1.9906127999999999E-2</v>
      </c>
      <c r="E10" s="4"/>
      <c r="F10" s="24" t="s">
        <v>18</v>
      </c>
      <c r="G10" s="30" t="s">
        <v>19</v>
      </c>
      <c r="H10" s="31">
        <f>J68</f>
        <v>3.7999407189260097</v>
      </c>
      <c r="I10" s="31"/>
      <c r="J10" s="31"/>
      <c r="K10" s="4"/>
      <c r="L10" s="4"/>
      <c r="M10" s="4"/>
      <c r="N10" s="4"/>
      <c r="O10" s="4"/>
      <c r="P10" s="4"/>
      <c r="Q10" s="4"/>
      <c r="R10" s="4"/>
      <c r="S10" s="4"/>
      <c r="T10" s="4"/>
      <c r="U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8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7" x14ac:dyDescent="0.3">
      <c r="A11" s="21" t="s">
        <v>20</v>
      </c>
      <c r="B11" s="32">
        <v>0.25</v>
      </c>
      <c r="C11" s="22" t="s">
        <v>21</v>
      </c>
      <c r="D11" s="23">
        <f>B10*1440/1000000</f>
        <v>0.11246399999999998</v>
      </c>
      <c r="E11" s="4"/>
      <c r="F11" s="24" t="s">
        <v>22</v>
      </c>
      <c r="G11" s="30" t="s">
        <v>23</v>
      </c>
      <c r="H11" s="33">
        <f>B9</f>
        <v>0.17699999999999999</v>
      </c>
      <c r="I11" s="33">
        <f>B9</f>
        <v>0.17699999999999999</v>
      </c>
      <c r="J11" s="33">
        <f>B9</f>
        <v>0.17699999999999999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8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3">
      <c r="A12" s="21" t="s">
        <v>24</v>
      </c>
      <c r="B12" s="34">
        <v>6.1</v>
      </c>
      <c r="C12" s="22" t="s">
        <v>25</v>
      </c>
      <c r="D12" s="23">
        <f>(B12/(1+(B15/B14)))</f>
        <v>3.4892494929006084</v>
      </c>
      <c r="E12" s="4"/>
      <c r="F12" s="24" t="s">
        <v>26</v>
      </c>
      <c r="G12" s="30" t="s">
        <v>27</v>
      </c>
      <c r="H12" s="35">
        <f>AS71</f>
        <v>25.953079178885631</v>
      </c>
      <c r="I12" s="36">
        <f>Y71</f>
        <v>32.741633515543377</v>
      </c>
      <c r="J12" s="36">
        <f>AN71</f>
        <v>23.620471108633257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8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">
      <c r="A13" s="21" t="s">
        <v>28</v>
      </c>
      <c r="B13" s="37">
        <v>3.41</v>
      </c>
      <c r="C13" s="22" t="s">
        <v>29</v>
      </c>
      <c r="D13" s="23">
        <f>D11*D12*8.34*(10000/2000)</f>
        <v>16.363703622231235</v>
      </c>
      <c r="E13" s="4"/>
      <c r="F13" s="24" t="s">
        <v>30</v>
      </c>
      <c r="G13" s="30" t="s">
        <v>19</v>
      </c>
      <c r="H13" s="31">
        <f>J67</f>
        <v>28.97188287046578</v>
      </c>
      <c r="I13" s="36">
        <f>Z71</f>
        <v>29.734925689014489</v>
      </c>
      <c r="J13" s="36">
        <f>AO71</f>
        <v>32.889427083420557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7" x14ac:dyDescent="0.3">
      <c r="A14" s="21" t="s">
        <v>31</v>
      </c>
      <c r="B14" s="38">
        <v>282</v>
      </c>
      <c r="C14" s="22" t="s">
        <v>32</v>
      </c>
      <c r="D14" s="23">
        <f>D8/D13</f>
        <v>25.363620509243113</v>
      </c>
      <c r="E14" s="4"/>
      <c r="F14" s="24" t="s">
        <v>33</v>
      </c>
      <c r="G14" s="30" t="s">
        <v>34</v>
      </c>
      <c r="H14" s="31">
        <f>AU71</f>
        <v>580.00000000000273</v>
      </c>
      <c r="I14" s="36">
        <f>AA71</f>
        <v>334.99999999999642</v>
      </c>
      <c r="J14" s="36">
        <f>AP71</f>
        <v>834.99999999999682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x14ac:dyDescent="0.3">
      <c r="A15" s="39" t="s">
        <v>35</v>
      </c>
      <c r="B15" s="40">
        <v>211</v>
      </c>
      <c r="C15" s="41" t="s">
        <v>36</v>
      </c>
      <c r="D15" s="174">
        <f>((B9*B11)/B13)*2000</f>
        <v>25.953079178885631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43"/>
      <c r="B16" s="4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5.75" customHeight="1" outlineLevel="2" x14ac:dyDescent="0.3">
      <c r="A17" s="187" t="s">
        <v>37</v>
      </c>
      <c r="B17" s="187"/>
      <c r="C17" s="18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8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outlineLevel="2" x14ac:dyDescent="0.3">
      <c r="A18" s="44"/>
      <c r="B18" s="12"/>
      <c r="C18" s="4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8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outlineLevel="2" x14ac:dyDescent="0.3">
      <c r="A19" s="46" t="s">
        <v>38</v>
      </c>
      <c r="B19" s="47">
        <f>1/453.59237</f>
        <v>2.2046226218487759E-3</v>
      </c>
      <c r="C19" s="48" t="s">
        <v>39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8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outlineLevel="2" x14ac:dyDescent="0.3">
      <c r="A20" s="46" t="s">
        <v>38</v>
      </c>
      <c r="B20" s="47">
        <v>1.1023109950010101E-6</v>
      </c>
      <c r="C20" s="48" t="s">
        <v>40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8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outlineLevel="2" x14ac:dyDescent="0.3">
      <c r="A21" s="46" t="s">
        <v>41</v>
      </c>
      <c r="B21" s="47">
        <v>3.95</v>
      </c>
      <c r="C21" s="48" t="s">
        <v>42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8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7.399999999999999" outlineLevel="2" x14ac:dyDescent="0.3">
      <c r="A22" s="46" t="s">
        <v>43</v>
      </c>
      <c r="B22" s="49">
        <f>((3.95/2)*0.0254)^2 * PI()</f>
        <v>7.9059034426187096E-3</v>
      </c>
      <c r="C22" s="48" t="s">
        <v>44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8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ht="17.399999999999999" outlineLevel="2" x14ac:dyDescent="0.3">
      <c r="A23" s="188" t="s">
        <v>45</v>
      </c>
      <c r="B23" s="188"/>
      <c r="C23" s="18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8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outlineLevel="2" x14ac:dyDescent="0.3">
      <c r="A24" s="46" t="s">
        <v>46</v>
      </c>
      <c r="B24" s="50">
        <f>B22*0.8*1000</f>
        <v>6.3247227540949682</v>
      </c>
      <c r="C24" s="48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8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ht="16.5" customHeight="1" outlineLevel="2" x14ac:dyDescent="0.3">
      <c r="A25" s="46" t="s">
        <v>48</v>
      </c>
      <c r="B25" s="50">
        <v>3.5</v>
      </c>
      <c r="C25" s="48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8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6.5" customHeight="1" outlineLevel="2" x14ac:dyDescent="0.3">
      <c r="A26" s="188" t="s">
        <v>50</v>
      </c>
      <c r="B26" s="188"/>
      <c r="C26" s="18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8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outlineLevel="2" x14ac:dyDescent="0.3">
      <c r="A27" s="46" t="s">
        <v>51</v>
      </c>
      <c r="B27" s="50">
        <v>0.25</v>
      </c>
      <c r="C27" s="4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7" outlineLevel="2" x14ac:dyDescent="0.3">
      <c r="A28" s="51" t="s">
        <v>52</v>
      </c>
      <c r="B28" s="52" t="s">
        <v>53</v>
      </c>
      <c r="C28" s="53" t="s">
        <v>54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8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8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7" x14ac:dyDescent="0.3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8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7" ht="18" x14ac:dyDescent="0.35">
      <c r="A31" s="180" t="s">
        <v>55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54"/>
      <c r="T31" s="54"/>
      <c r="U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8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7" ht="62.4" x14ac:dyDescent="0.3">
      <c r="A32" s="55" t="s">
        <v>56</v>
      </c>
      <c r="B32" s="56" t="s">
        <v>57</v>
      </c>
      <c r="C32" s="56" t="s">
        <v>58</v>
      </c>
      <c r="D32" s="56" t="s">
        <v>59</v>
      </c>
      <c r="E32" s="56" t="s">
        <v>60</v>
      </c>
      <c r="F32" s="56" t="s">
        <v>61</v>
      </c>
      <c r="G32" s="56" t="s">
        <v>62</v>
      </c>
      <c r="H32" s="56" t="s">
        <v>63</v>
      </c>
      <c r="I32" s="56" t="s">
        <v>64</v>
      </c>
      <c r="J32" s="56" t="s">
        <v>65</v>
      </c>
      <c r="K32" s="56" t="s">
        <v>66</v>
      </c>
      <c r="L32" s="56" t="s">
        <v>67</v>
      </c>
      <c r="M32" s="56" t="s">
        <v>68</v>
      </c>
      <c r="N32" s="56" t="s">
        <v>69</v>
      </c>
      <c r="O32" s="56" t="s">
        <v>70</v>
      </c>
      <c r="P32" s="56" t="s">
        <v>71</v>
      </c>
      <c r="Q32" s="56" t="s">
        <v>72</v>
      </c>
      <c r="R32" s="57" t="s">
        <v>73</v>
      </c>
      <c r="S32" s="58"/>
      <c r="T32" s="58"/>
      <c r="U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8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x14ac:dyDescent="0.3">
      <c r="A33" s="59">
        <v>1</v>
      </c>
      <c r="B33" s="60">
        <v>19.5</v>
      </c>
      <c r="C33" s="60">
        <v>3.41</v>
      </c>
      <c r="D33" s="60">
        <v>500.54</v>
      </c>
      <c r="E33" s="61">
        <f t="shared" ref="E33:E38" si="0">(B33*D33*$B$20*C33)/($B$19*$B$27)</f>
        <v>66.566795521893198</v>
      </c>
      <c r="F33" s="62">
        <v>70.28</v>
      </c>
      <c r="G33" s="62">
        <v>1.98</v>
      </c>
      <c r="H33" s="63">
        <f t="shared" ref="H33:H38" si="1">F33-G33</f>
        <v>68.3</v>
      </c>
      <c r="I33" s="64">
        <f t="shared" ref="I33:I38" si="2">(H33*$B$27*$B$19)/ (D33*$B$20*C33)</f>
        <v>20.007722912874286</v>
      </c>
      <c r="J33" s="60">
        <v>206.78</v>
      </c>
      <c r="K33" s="60">
        <v>409.17</v>
      </c>
      <c r="L33" s="60">
        <v>347.93</v>
      </c>
      <c r="M33" s="60">
        <v>779.21</v>
      </c>
      <c r="N33" s="61">
        <v>100</v>
      </c>
      <c r="O33" s="65">
        <f t="shared" ref="O33:P38" si="3">L33-J33</f>
        <v>141.15</v>
      </c>
      <c r="P33" s="61">
        <f t="shared" si="3"/>
        <v>370.04</v>
      </c>
      <c r="Q33" s="61">
        <f t="shared" ref="Q33:Q38" si="4">((O33+P33)/O33)*(D33/(D33+H33))*C33</f>
        <v>10.866870897645969</v>
      </c>
      <c r="R33" s="66">
        <f t="shared" ref="R33:R38" si="5">$B$24/Q33*100</f>
        <v>58.2018762684027</v>
      </c>
      <c r="S33" s="67"/>
      <c r="T33" s="67"/>
      <c r="U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8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x14ac:dyDescent="0.3">
      <c r="A34" s="59">
        <v>2</v>
      </c>
      <c r="B34" s="60">
        <v>23</v>
      </c>
      <c r="C34" s="60">
        <v>3.41</v>
      </c>
      <c r="D34" s="60">
        <v>503.13</v>
      </c>
      <c r="E34" s="61">
        <f t="shared" si="0"/>
        <v>78.92094918118103</v>
      </c>
      <c r="F34" s="62">
        <v>83.55</v>
      </c>
      <c r="G34" s="62">
        <v>2.5</v>
      </c>
      <c r="H34" s="68">
        <f t="shared" si="1"/>
        <v>81.05</v>
      </c>
      <c r="I34" s="64">
        <f t="shared" si="2"/>
        <v>23.620471108633257</v>
      </c>
      <c r="J34" s="60">
        <v>205.82</v>
      </c>
      <c r="K34" s="60">
        <v>408.9</v>
      </c>
      <c r="L34" s="60">
        <v>347.35</v>
      </c>
      <c r="M34" s="60">
        <v>782.64</v>
      </c>
      <c r="N34" s="61">
        <v>100</v>
      </c>
      <c r="O34" s="65">
        <f t="shared" si="3"/>
        <v>141.53000000000003</v>
      </c>
      <c r="P34" s="61">
        <f t="shared" si="3"/>
        <v>373.74</v>
      </c>
      <c r="Q34" s="61">
        <f t="shared" si="4"/>
        <v>10.69237690920226</v>
      </c>
      <c r="R34" s="66">
        <f t="shared" si="5"/>
        <v>59.151700391815368</v>
      </c>
      <c r="S34" s="67"/>
      <c r="T34" s="67"/>
      <c r="U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8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x14ac:dyDescent="0.3">
      <c r="A35" s="59">
        <v>3</v>
      </c>
      <c r="B35" s="69">
        <v>26</v>
      </c>
      <c r="C35" s="60">
        <v>3.41</v>
      </c>
      <c r="D35" s="60">
        <v>509.78</v>
      </c>
      <c r="E35" s="61">
        <f t="shared" si="0"/>
        <v>90.394163692946847</v>
      </c>
      <c r="F35" s="62">
        <v>97.51</v>
      </c>
      <c r="G35" s="62">
        <v>2.74</v>
      </c>
      <c r="H35" s="68">
        <f t="shared" si="1"/>
        <v>94.77000000000001</v>
      </c>
      <c r="I35" s="64">
        <f t="shared" si="2"/>
        <v>27.258618248517067</v>
      </c>
      <c r="J35" s="60">
        <v>159.41999999999999</v>
      </c>
      <c r="K35" s="60">
        <v>408.25</v>
      </c>
      <c r="L35" s="60">
        <v>295.74</v>
      </c>
      <c r="M35" s="60">
        <v>827.41</v>
      </c>
      <c r="N35" s="61">
        <v>100</v>
      </c>
      <c r="O35" s="65">
        <f t="shared" si="3"/>
        <v>136.32000000000002</v>
      </c>
      <c r="P35" s="61">
        <f t="shared" si="3"/>
        <v>419.15999999999997</v>
      </c>
      <c r="Q35" s="61">
        <f t="shared" si="4"/>
        <v>11.71692893474485</v>
      </c>
      <c r="R35" s="66">
        <f t="shared" si="5"/>
        <v>53.979355762241774</v>
      </c>
      <c r="S35" s="67"/>
      <c r="T35" s="67"/>
      <c r="U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8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x14ac:dyDescent="0.3">
      <c r="A36" s="59">
        <v>4</v>
      </c>
      <c r="B36" s="60">
        <v>28.5</v>
      </c>
      <c r="C36" s="60">
        <v>3.41</v>
      </c>
      <c r="D36" s="60">
        <v>506.6</v>
      </c>
      <c r="E36" s="61">
        <f t="shared" si="0"/>
        <v>98.467813779031076</v>
      </c>
      <c r="F36" s="62">
        <v>103.21</v>
      </c>
      <c r="G36" s="62">
        <v>1.7</v>
      </c>
      <c r="H36" s="68">
        <f t="shared" si="1"/>
        <v>101.50999999999999</v>
      </c>
      <c r="I36" s="64">
        <f t="shared" si="2"/>
        <v>29.38051419007007</v>
      </c>
      <c r="J36" s="60">
        <v>401.84</v>
      </c>
      <c r="K36" s="60">
        <v>359.01</v>
      </c>
      <c r="L36" s="60">
        <v>550.82000000000005</v>
      </c>
      <c r="M36" s="60">
        <v>771.74</v>
      </c>
      <c r="N36" s="61">
        <v>100</v>
      </c>
      <c r="O36" s="65">
        <f t="shared" si="3"/>
        <v>148.98000000000008</v>
      </c>
      <c r="P36" s="61">
        <f t="shared" si="3"/>
        <v>412.73</v>
      </c>
      <c r="Q36" s="61">
        <f t="shared" si="4"/>
        <v>10.710792478050612</v>
      </c>
      <c r="R36" s="66">
        <f t="shared" si="5"/>
        <v>59.049998093568533</v>
      </c>
      <c r="S36" s="67"/>
      <c r="T36" s="67"/>
      <c r="U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8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x14ac:dyDescent="0.3">
      <c r="A37" s="59">
        <v>5</v>
      </c>
      <c r="B37" s="60">
        <v>31.5</v>
      </c>
      <c r="C37" s="60">
        <v>3.41</v>
      </c>
      <c r="D37" s="60">
        <v>502.02</v>
      </c>
      <c r="E37" s="61">
        <f t="shared" si="0"/>
        <v>107.84892569039549</v>
      </c>
      <c r="F37" s="62">
        <v>116.12</v>
      </c>
      <c r="G37" s="62">
        <v>4.0199999999999996</v>
      </c>
      <c r="H37" s="68">
        <f t="shared" si="1"/>
        <v>112.10000000000001</v>
      </c>
      <c r="I37" s="64">
        <f t="shared" si="2"/>
        <v>32.741633515543377</v>
      </c>
      <c r="J37" s="60">
        <v>509.78</v>
      </c>
      <c r="K37" s="60">
        <v>399.07</v>
      </c>
      <c r="L37" s="60">
        <v>675.12</v>
      </c>
      <c r="M37" s="60">
        <v>810</v>
      </c>
      <c r="N37" s="61">
        <v>100</v>
      </c>
      <c r="O37" s="65">
        <f t="shared" si="3"/>
        <v>165.34000000000003</v>
      </c>
      <c r="P37" s="61">
        <f t="shared" si="3"/>
        <v>410.93</v>
      </c>
      <c r="Q37" s="61">
        <f t="shared" si="4"/>
        <v>9.7156136212387096</v>
      </c>
      <c r="R37" s="66">
        <f t="shared" si="5"/>
        <v>65.098541385681273</v>
      </c>
      <c r="S37" s="67"/>
      <c r="T37" s="67"/>
      <c r="U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8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x14ac:dyDescent="0.3">
      <c r="A38" s="70"/>
      <c r="B38" s="71">
        <v>35</v>
      </c>
      <c r="C38" s="71">
        <v>3.41</v>
      </c>
      <c r="D38" s="71">
        <v>500.45</v>
      </c>
      <c r="E38" s="72">
        <f t="shared" si="0"/>
        <v>119.45738076340125</v>
      </c>
      <c r="F38" s="73">
        <v>120.24</v>
      </c>
      <c r="G38" s="73">
        <v>1.1200000000000001</v>
      </c>
      <c r="H38" s="68">
        <f t="shared" si="1"/>
        <v>119.11999999999999</v>
      </c>
      <c r="I38" s="64">
        <f t="shared" si="2"/>
        <v>34.901150296083991</v>
      </c>
      <c r="J38" s="60">
        <v>401.84</v>
      </c>
      <c r="K38" s="60">
        <v>359.01</v>
      </c>
      <c r="L38" s="71">
        <v>558.54</v>
      </c>
      <c r="M38" s="71">
        <v>808.95</v>
      </c>
      <c r="N38" s="61">
        <v>101</v>
      </c>
      <c r="O38" s="65">
        <f t="shared" si="3"/>
        <v>156.69999999999999</v>
      </c>
      <c r="P38" s="61">
        <f t="shared" si="3"/>
        <v>449.94000000000005</v>
      </c>
      <c r="Q38" s="61">
        <f t="shared" si="4"/>
        <v>10.663179949442881</v>
      </c>
      <c r="R38" s="66">
        <f t="shared" si="5"/>
        <v>59.313664254774359</v>
      </c>
      <c r="S38" s="67"/>
      <c r="T38" s="67"/>
      <c r="U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8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ht="18" customHeight="1" x14ac:dyDescent="0.35">
      <c r="A39" s="181" t="s">
        <v>74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4"/>
      <c r="O39" s="4"/>
      <c r="P39" s="4"/>
      <c r="Q39" s="4"/>
      <c r="R39" s="4">
        <v>0</v>
      </c>
      <c r="S39" s="4"/>
      <c r="T39" s="4"/>
      <c r="U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8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ht="15.75" customHeight="1" x14ac:dyDescent="0.3">
      <c r="A40" s="56" t="s">
        <v>56</v>
      </c>
      <c r="B40" s="56" t="s">
        <v>75</v>
      </c>
      <c r="C40" s="57" t="s">
        <v>76</v>
      </c>
      <c r="D40" s="182" t="s">
        <v>77</v>
      </c>
      <c r="E40" s="182"/>
      <c r="F40" s="182"/>
      <c r="G40" s="182"/>
      <c r="H40" s="182"/>
      <c r="I40" s="183" t="s">
        <v>78</v>
      </c>
      <c r="J40" s="183"/>
      <c r="K40" s="183"/>
      <c r="L40" s="183"/>
      <c r="M40" s="183"/>
      <c r="N40" s="4"/>
      <c r="O40" s="4"/>
      <c r="P40" s="4"/>
      <c r="Q40" s="4"/>
      <c r="R40" s="4"/>
      <c r="S40" s="4"/>
      <c r="T40" s="4"/>
      <c r="U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8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x14ac:dyDescent="0.3">
      <c r="A41" s="74">
        <v>1</v>
      </c>
      <c r="B41" s="75">
        <f>AVERAGE(D41:H41)</f>
        <v>73.233333333333334</v>
      </c>
      <c r="C41" s="76">
        <f>AVERAGE(I41:K41)</f>
        <v>39.533333333333339</v>
      </c>
      <c r="D41" s="77">
        <v>73.599999999999994</v>
      </c>
      <c r="E41" s="78">
        <v>70.2</v>
      </c>
      <c r="F41" s="78">
        <v>75.900000000000006</v>
      </c>
      <c r="G41" s="78"/>
      <c r="H41" s="79"/>
      <c r="I41" s="80">
        <v>39.9</v>
      </c>
      <c r="J41" s="81">
        <v>39</v>
      </c>
      <c r="K41" s="81">
        <v>39.700000000000003</v>
      </c>
      <c r="L41" s="81"/>
      <c r="M41" s="82"/>
      <c r="N41" s="4"/>
      <c r="O41" s="4"/>
      <c r="P41" s="4"/>
      <c r="Q41" s="4"/>
      <c r="R41" s="4"/>
      <c r="S41" s="4"/>
      <c r="T41" s="4"/>
      <c r="U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8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x14ac:dyDescent="0.3">
      <c r="A42" s="74">
        <v>2</v>
      </c>
      <c r="B42" s="75">
        <f>AVERAGE(D42:F42)</f>
        <v>48</v>
      </c>
      <c r="C42" s="76">
        <f>AVERAGE(J42:K42)</f>
        <v>37.400000000000006</v>
      </c>
      <c r="D42" s="80">
        <v>48.1</v>
      </c>
      <c r="E42" s="81">
        <v>48.7</v>
      </c>
      <c r="F42" s="81">
        <v>47.2</v>
      </c>
      <c r="G42" s="81">
        <v>36.6</v>
      </c>
      <c r="H42" s="82"/>
      <c r="I42" s="80">
        <v>42.2</v>
      </c>
      <c r="J42" s="81">
        <v>38.200000000000003</v>
      </c>
      <c r="K42" s="81">
        <v>36.6</v>
      </c>
      <c r="L42" s="81"/>
      <c r="M42" s="82"/>
      <c r="N42" s="4"/>
      <c r="O42" s="4"/>
      <c r="P42" s="4"/>
      <c r="Q42" s="4"/>
      <c r="R42" s="4"/>
      <c r="S42" s="4"/>
      <c r="T42" s="4"/>
      <c r="U42" s="26"/>
      <c r="V42" s="27"/>
      <c r="W42" s="27"/>
      <c r="X42" s="27"/>
      <c r="Y42" s="27"/>
      <c r="Z42" s="27"/>
      <c r="AA42" s="27"/>
      <c r="AB42" s="27"/>
      <c r="AC42" s="83"/>
      <c r="AD42" s="83"/>
      <c r="AE42" s="83"/>
      <c r="AF42" s="83"/>
      <c r="AG42" s="83"/>
      <c r="AH42" s="83"/>
      <c r="AI42" s="83"/>
      <c r="AJ42" s="83"/>
      <c r="AK42" s="8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ht="34.5" customHeight="1" x14ac:dyDescent="0.3">
      <c r="A43" s="74">
        <v>3</v>
      </c>
      <c r="B43" s="75">
        <f>AVERAGE(D43:F43)</f>
        <v>46.833333333333336</v>
      </c>
      <c r="C43" s="76">
        <f>AVERAGE(J43:K43)</f>
        <v>31.049999999999997</v>
      </c>
      <c r="D43" s="80">
        <v>50.2</v>
      </c>
      <c r="E43" s="81">
        <v>44.7</v>
      </c>
      <c r="F43" s="81">
        <v>45.6</v>
      </c>
      <c r="G43" s="81">
        <v>37.4</v>
      </c>
      <c r="H43" s="82"/>
      <c r="I43" s="80">
        <v>31.3</v>
      </c>
      <c r="J43" s="81">
        <v>31.4</v>
      </c>
      <c r="K43" s="81">
        <v>30.7</v>
      </c>
      <c r="L43" s="81"/>
      <c r="M43" s="82"/>
      <c r="N43" s="4"/>
      <c r="O43" s="4"/>
      <c r="P43" s="4"/>
      <c r="Q43" s="4"/>
      <c r="R43" s="4"/>
      <c r="S43" s="4"/>
      <c r="T43" s="4"/>
      <c r="U43" s="184" t="s">
        <v>79</v>
      </c>
      <c r="V43" s="184"/>
      <c r="W43" s="184"/>
      <c r="X43" s="184"/>
      <c r="Y43" s="184"/>
      <c r="Z43" s="184"/>
      <c r="AA43" s="184"/>
      <c r="AB43" s="184"/>
      <c r="AC43" s="175" t="s">
        <v>80</v>
      </c>
      <c r="AD43" s="175"/>
      <c r="AE43" s="175"/>
      <c r="AF43" s="175"/>
      <c r="AG43" s="175"/>
      <c r="AH43" s="175"/>
      <c r="AI43" s="175"/>
      <c r="AJ43" s="175"/>
      <c r="AK43" s="175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ht="15.75" customHeight="1" x14ac:dyDescent="0.3">
      <c r="A44" s="74">
        <v>4</v>
      </c>
      <c r="B44" s="75">
        <f>AVERAGE(D44:F44)</f>
        <v>37.733333333333334</v>
      </c>
      <c r="C44" s="76">
        <f>AVERAGE(I44:K44)</f>
        <v>28.400000000000002</v>
      </c>
      <c r="D44" s="80">
        <v>38.4</v>
      </c>
      <c r="E44" s="81">
        <v>38.6</v>
      </c>
      <c r="F44" s="81">
        <v>36.200000000000003</v>
      </c>
      <c r="G44" s="81">
        <v>32.4</v>
      </c>
      <c r="H44" s="82"/>
      <c r="I44" s="80">
        <v>27.1</v>
      </c>
      <c r="J44" s="81">
        <v>28.8</v>
      </c>
      <c r="K44" s="81">
        <v>29.3</v>
      </c>
      <c r="L44" s="81"/>
      <c r="M44" s="82"/>
      <c r="N44" s="4"/>
      <c r="O44" s="4"/>
      <c r="P44" s="4"/>
      <c r="Q44" s="4"/>
      <c r="R44" s="4"/>
      <c r="S44" s="4"/>
      <c r="T44" s="4"/>
      <c r="U44" s="184"/>
      <c r="V44" s="184"/>
      <c r="W44" s="184"/>
      <c r="X44" s="184"/>
      <c r="Y44" s="184"/>
      <c r="Z44" s="184"/>
      <c r="AA44" s="184"/>
      <c r="AB44" s="184"/>
      <c r="AC44" s="175"/>
      <c r="AD44" s="175"/>
      <c r="AE44" s="175"/>
      <c r="AF44" s="175"/>
      <c r="AG44" s="175"/>
      <c r="AH44" s="175"/>
      <c r="AI44" s="175"/>
      <c r="AJ44" s="175"/>
      <c r="AK44" s="175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ht="15.75" customHeight="1" x14ac:dyDescent="0.3">
      <c r="A45" s="74">
        <v>5</v>
      </c>
      <c r="B45" s="75">
        <f>AVERAGE(D45:F45)</f>
        <v>28.233333333333334</v>
      </c>
      <c r="C45" s="76">
        <f>AVERAGE(I45:M45)</f>
        <v>15.800000000000002</v>
      </c>
      <c r="D45" s="80">
        <v>28.3</v>
      </c>
      <c r="E45" s="81">
        <v>27.3</v>
      </c>
      <c r="F45" s="81">
        <v>29.1</v>
      </c>
      <c r="G45" s="81">
        <v>19.8</v>
      </c>
      <c r="H45" s="82"/>
      <c r="I45" s="80">
        <v>22.1</v>
      </c>
      <c r="J45" s="81">
        <v>12.8</v>
      </c>
      <c r="K45" s="81">
        <v>12.5</v>
      </c>
      <c r="L45" s="81"/>
      <c r="M45" s="82"/>
      <c r="N45" s="4"/>
      <c r="O45" s="4"/>
      <c r="P45" s="4"/>
      <c r="Q45" s="4"/>
      <c r="R45" s="4"/>
      <c r="S45" s="4"/>
      <c r="T45" s="4"/>
      <c r="U45" s="26"/>
      <c r="V45" s="27"/>
      <c r="W45" s="27"/>
      <c r="X45" s="27"/>
      <c r="Y45" s="27"/>
      <c r="Z45" s="27"/>
      <c r="AA45" s="27"/>
      <c r="AB45" s="85"/>
      <c r="AC45" s="27"/>
      <c r="AD45" s="27"/>
      <c r="AE45" s="27"/>
      <c r="AF45" s="27"/>
      <c r="AG45" s="27"/>
      <c r="AH45" s="27"/>
      <c r="AI45" s="27"/>
      <c r="AJ45" s="27"/>
      <c r="AK45" s="86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ht="15.75" customHeight="1" x14ac:dyDescent="0.3">
      <c r="A46" s="74">
        <v>5</v>
      </c>
      <c r="B46" s="75">
        <f>AVERAGE(D46:F46)</f>
        <v>28.599999999999998</v>
      </c>
      <c r="C46" s="76">
        <f>AVERAGE(I46:M46)</f>
        <v>12</v>
      </c>
      <c r="D46" s="80">
        <v>27.3</v>
      </c>
      <c r="E46" s="81">
        <v>29.7</v>
      </c>
      <c r="F46" s="81">
        <v>28.8</v>
      </c>
      <c r="G46" s="81">
        <v>19.600000000000001</v>
      </c>
      <c r="H46" s="82"/>
      <c r="I46" s="80">
        <v>11.8</v>
      </c>
      <c r="J46" s="81">
        <v>11.7</v>
      </c>
      <c r="K46" s="81">
        <v>12.5</v>
      </c>
      <c r="L46" s="81"/>
      <c r="M46" s="82"/>
      <c r="N46" s="4"/>
      <c r="O46" s="4"/>
      <c r="P46" s="4"/>
      <c r="Q46" s="4"/>
      <c r="R46" s="4"/>
      <c r="S46" s="4"/>
      <c r="T46" s="4"/>
      <c r="U46" s="26"/>
      <c r="V46" s="27"/>
      <c r="W46" s="27"/>
      <c r="X46" s="27"/>
      <c r="Y46" s="27"/>
      <c r="Z46" s="27"/>
      <c r="AA46" s="27"/>
      <c r="AB46" s="85"/>
      <c r="AC46" s="27"/>
      <c r="AD46" s="27"/>
      <c r="AE46" s="27"/>
      <c r="AF46" s="27"/>
      <c r="AG46" s="27"/>
      <c r="AH46" s="27"/>
      <c r="AI46" s="27"/>
      <c r="AJ46" s="27"/>
      <c r="AK46" s="86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26"/>
      <c r="V47" s="27"/>
      <c r="W47" s="27"/>
      <c r="X47" s="176" t="s">
        <v>81</v>
      </c>
      <c r="Y47" s="176"/>
      <c r="Z47" s="176"/>
      <c r="AA47" s="27"/>
      <c r="AB47" s="85"/>
      <c r="AC47" s="27"/>
      <c r="AD47" s="27"/>
      <c r="AE47" s="27"/>
      <c r="AF47" s="27"/>
      <c r="AG47" s="27"/>
      <c r="AH47" s="27"/>
      <c r="AI47" s="27"/>
      <c r="AJ47" s="27"/>
      <c r="AK47" s="86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ht="21" customHeight="1" x14ac:dyDescent="0.3">
      <c r="A48" s="177" t="s">
        <v>82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4"/>
      <c r="R48" s="4"/>
      <c r="S48" s="4"/>
      <c r="T48" s="4"/>
      <c r="U48" s="26"/>
      <c r="V48" s="27"/>
      <c r="W48" s="27"/>
      <c r="X48" s="1"/>
      <c r="Y48" s="1" t="s">
        <v>18</v>
      </c>
      <c r="Z48" s="1" t="s">
        <v>83</v>
      </c>
      <c r="AA48" s="27"/>
      <c r="AB48" s="85"/>
      <c r="AC48" s="27"/>
      <c r="AD48" s="27"/>
      <c r="AE48" s="27"/>
      <c r="AF48" s="27"/>
      <c r="AG48" s="27"/>
      <c r="AH48" s="27"/>
      <c r="AI48" s="27"/>
      <c r="AJ48" s="27"/>
      <c r="AK48" s="86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7" ht="21.75" customHeight="1" x14ac:dyDescent="0.3">
      <c r="A49" s="55" t="s">
        <v>84</v>
      </c>
      <c r="B49" s="56" t="s">
        <v>85</v>
      </c>
      <c r="C49" s="56" t="s">
        <v>86</v>
      </c>
      <c r="D49" s="56" t="s">
        <v>87</v>
      </c>
      <c r="E49" s="56" t="s">
        <v>88</v>
      </c>
      <c r="F49" s="56" t="s">
        <v>89</v>
      </c>
      <c r="G49" s="56" t="s">
        <v>90</v>
      </c>
      <c r="H49" s="56" t="s">
        <v>91</v>
      </c>
      <c r="I49" s="56" t="s">
        <v>92</v>
      </c>
      <c r="J49" s="56" t="s">
        <v>93</v>
      </c>
      <c r="K49" s="56" t="s">
        <v>94</v>
      </c>
      <c r="L49" s="56" t="s">
        <v>95</v>
      </c>
      <c r="M49" s="56" t="s">
        <v>96</v>
      </c>
      <c r="N49" s="56" t="s">
        <v>97</v>
      </c>
      <c r="O49" s="56" t="s">
        <v>98</v>
      </c>
      <c r="P49" s="87" t="s">
        <v>99</v>
      </c>
      <c r="Q49" s="4"/>
      <c r="R49" s="4"/>
      <c r="S49" s="4"/>
      <c r="T49" s="4"/>
      <c r="U49" s="26"/>
      <c r="V49" s="27"/>
      <c r="W49" s="27"/>
      <c r="X49" s="88" t="s">
        <v>100</v>
      </c>
      <c r="Y49" s="88" t="s">
        <v>101</v>
      </c>
      <c r="Z49" s="88" t="s">
        <v>34</v>
      </c>
      <c r="AA49" s="27"/>
      <c r="AB49" s="85"/>
      <c r="AC49" s="27"/>
      <c r="AD49" s="27"/>
      <c r="AE49" s="27"/>
      <c r="AF49" s="27"/>
      <c r="AG49" s="27"/>
      <c r="AH49" s="27"/>
      <c r="AI49" s="27"/>
      <c r="AJ49" s="27"/>
      <c r="AK49" s="86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7" ht="21" customHeight="1" x14ac:dyDescent="0.3">
      <c r="A50" s="89">
        <v>1</v>
      </c>
      <c r="B50" s="90">
        <v>1.1037999999999999</v>
      </c>
      <c r="C50" s="90">
        <v>1.1115999999999999</v>
      </c>
      <c r="D50" s="47">
        <v>10</v>
      </c>
      <c r="E50" s="47">
        <v>10</v>
      </c>
      <c r="F50" s="91">
        <v>1.1136999999999999</v>
      </c>
      <c r="G50" s="91">
        <v>1.1225000000000001</v>
      </c>
      <c r="H50" s="47">
        <v>1</v>
      </c>
      <c r="I50" s="92">
        <f t="shared" ref="I50:I56" si="6">(F50-B50)*1000*H50/D50</f>
        <v>0.99000000000000199</v>
      </c>
      <c r="J50" s="92">
        <f t="shared" ref="J50:J56" si="7">(G50-C50)*1000*H50/E50</f>
        <v>1.0900000000000132</v>
      </c>
      <c r="K50" s="93">
        <f t="shared" ref="K50:K56" si="8">AVERAGE(I50:J50)</f>
        <v>1.0400000000000076</v>
      </c>
      <c r="L50" s="81">
        <v>1.1085</v>
      </c>
      <c r="M50" s="81">
        <v>1.1137999999999999</v>
      </c>
      <c r="N50" s="94">
        <f t="shared" ref="N50:N56" si="9">(F50-L50)/E50*1000000</f>
        <v>519.99999999998715</v>
      </c>
      <c r="O50" s="50">
        <f t="shared" ref="O50:O56" si="10">(G50-M50)/E50*1000000</f>
        <v>870.00000000001523</v>
      </c>
      <c r="P50" s="95">
        <f t="shared" ref="P50:P56" si="11">AVERAGE(N50:O50)</f>
        <v>695.00000000000114</v>
      </c>
      <c r="Q50" s="4"/>
      <c r="R50" s="4"/>
      <c r="S50" s="4"/>
      <c r="T50" s="4"/>
      <c r="U50" s="26"/>
      <c r="V50" s="27"/>
      <c r="W50" s="27"/>
      <c r="X50" s="88"/>
      <c r="Y50" s="88" t="s">
        <v>102</v>
      </c>
      <c r="Z50" s="88" t="s">
        <v>103</v>
      </c>
      <c r="AA50" s="27"/>
      <c r="AB50" s="85"/>
      <c r="AC50" s="27"/>
      <c r="AD50" s="27"/>
      <c r="AE50" s="27"/>
      <c r="AF50" s="27"/>
      <c r="AG50" s="27"/>
      <c r="AH50" s="27"/>
      <c r="AI50" s="27"/>
      <c r="AJ50" s="27"/>
      <c r="AK50" s="86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7" x14ac:dyDescent="0.3">
      <c r="A51" s="89">
        <v>2</v>
      </c>
      <c r="B51" s="90">
        <v>1.1345000000000001</v>
      </c>
      <c r="C51" s="96">
        <v>1.1268</v>
      </c>
      <c r="D51" s="47">
        <v>10</v>
      </c>
      <c r="E51" s="47">
        <v>10</v>
      </c>
      <c r="F51" s="91">
        <v>1.1422000000000001</v>
      </c>
      <c r="G51" s="91">
        <v>1.1357999999999999</v>
      </c>
      <c r="H51" s="47">
        <v>1</v>
      </c>
      <c r="I51" s="92">
        <f t="shared" si="6"/>
        <v>0.77000000000000401</v>
      </c>
      <c r="J51" s="92">
        <f t="shared" si="7"/>
        <v>0.8999999999999897</v>
      </c>
      <c r="K51" s="93">
        <f t="shared" si="8"/>
        <v>0.83499999999999686</v>
      </c>
      <c r="L51" s="81">
        <v>1.1359999999999999</v>
      </c>
      <c r="M51" s="81">
        <v>1.1286</v>
      </c>
      <c r="N51" s="94">
        <f t="shared" si="9"/>
        <v>620.00000000002046</v>
      </c>
      <c r="O51" s="50">
        <f t="shared" si="10"/>
        <v>719.99999999998738</v>
      </c>
      <c r="P51" s="95">
        <f t="shared" si="11"/>
        <v>670.00000000000387</v>
      </c>
      <c r="Q51" s="4"/>
      <c r="R51" s="4"/>
      <c r="S51" s="4"/>
      <c r="T51" s="4"/>
      <c r="U51" s="26"/>
      <c r="V51" s="27"/>
      <c r="W51" s="27"/>
      <c r="X51" s="27"/>
      <c r="Y51" s="27"/>
      <c r="Z51" s="27"/>
      <c r="AA51" s="27"/>
      <c r="AB51" s="85"/>
      <c r="AC51" s="27"/>
      <c r="AD51" s="27"/>
      <c r="AE51" s="27"/>
      <c r="AF51" s="27"/>
      <c r="AG51" s="27"/>
      <c r="AH51" s="27"/>
      <c r="AI51" s="27"/>
      <c r="AJ51" s="27"/>
      <c r="AK51" s="86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7" x14ac:dyDescent="0.3">
      <c r="A52" s="89">
        <v>3</v>
      </c>
      <c r="B52" s="90">
        <v>1.1140000000000001</v>
      </c>
      <c r="C52" s="74">
        <v>1.1224000000000001</v>
      </c>
      <c r="D52" s="47">
        <v>10</v>
      </c>
      <c r="E52" s="47">
        <v>10</v>
      </c>
      <c r="F52" s="91">
        <v>1.1231</v>
      </c>
      <c r="G52" s="91">
        <v>1.1285000000000001</v>
      </c>
      <c r="H52" s="47">
        <v>1</v>
      </c>
      <c r="I52" s="92">
        <f t="shared" si="6"/>
        <v>0.9099999999999886</v>
      </c>
      <c r="J52" s="92">
        <f t="shared" si="7"/>
        <v>0.60999999999999943</v>
      </c>
      <c r="K52" s="93">
        <f t="shared" si="8"/>
        <v>0.75999999999999401</v>
      </c>
      <c r="L52" s="81">
        <v>1.1160000000000001</v>
      </c>
      <c r="M52" s="81">
        <v>1.1233</v>
      </c>
      <c r="N52" s="94">
        <f t="shared" si="9"/>
        <v>709.9999999999884</v>
      </c>
      <c r="O52" s="50">
        <f t="shared" si="10"/>
        <v>520.00000000000944</v>
      </c>
      <c r="P52" s="95">
        <f t="shared" si="11"/>
        <v>614.99999999999886</v>
      </c>
      <c r="Q52" s="4"/>
      <c r="R52" s="4"/>
      <c r="S52" s="4"/>
      <c r="T52" s="4"/>
      <c r="U52" s="26"/>
      <c r="V52" s="178" t="s">
        <v>5</v>
      </c>
      <c r="W52" s="178"/>
      <c r="X52" s="178"/>
      <c r="Y52" s="178"/>
      <c r="Z52" s="178"/>
      <c r="AA52" s="27"/>
      <c r="AB52" s="85"/>
      <c r="AC52" s="27"/>
      <c r="AD52" s="27"/>
      <c r="AE52" s="27"/>
      <c r="AF52" s="27"/>
      <c r="AG52" s="27"/>
      <c r="AH52" s="27"/>
      <c r="AI52" s="27"/>
      <c r="AJ52" s="27"/>
      <c r="AK52" s="86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7" x14ac:dyDescent="0.3">
      <c r="A53" s="89">
        <v>4</v>
      </c>
      <c r="B53" s="96">
        <v>1.1173999999999999</v>
      </c>
      <c r="C53" s="97">
        <v>1.115</v>
      </c>
      <c r="D53" s="47">
        <v>10</v>
      </c>
      <c r="E53" s="47">
        <v>10</v>
      </c>
      <c r="F53" s="91">
        <v>1.1213</v>
      </c>
      <c r="G53" s="91">
        <v>1.119</v>
      </c>
      <c r="H53" s="47">
        <v>1</v>
      </c>
      <c r="I53" s="92">
        <f t="shared" si="6"/>
        <v>0.39000000000000146</v>
      </c>
      <c r="J53" s="92">
        <f t="shared" si="7"/>
        <v>0.40000000000000036</v>
      </c>
      <c r="K53" s="93">
        <f t="shared" si="8"/>
        <v>0.39500000000000091</v>
      </c>
      <c r="L53" s="81">
        <v>1.1178999999999999</v>
      </c>
      <c r="M53" s="81">
        <v>1.1148</v>
      </c>
      <c r="N53" s="94">
        <f t="shared" si="9"/>
        <v>340.00000000000693</v>
      </c>
      <c r="O53" s="50">
        <f t="shared" si="10"/>
        <v>419.99999999999818</v>
      </c>
      <c r="P53" s="95">
        <f t="shared" si="11"/>
        <v>380.00000000000256</v>
      </c>
      <c r="Q53" s="4"/>
      <c r="R53" s="4"/>
      <c r="S53" s="4"/>
      <c r="T53" s="4"/>
      <c r="U53" s="26"/>
      <c r="V53" s="98"/>
      <c r="W53" s="99"/>
      <c r="X53" s="99"/>
      <c r="Y53" s="100" t="s">
        <v>9</v>
      </c>
      <c r="Z53" s="101"/>
      <c r="AA53" s="27"/>
      <c r="AB53" s="85"/>
      <c r="AC53" s="27"/>
      <c r="AD53" s="27"/>
      <c r="AE53" s="27"/>
      <c r="AF53" s="27"/>
      <c r="AG53" s="27"/>
      <c r="AH53" s="27"/>
      <c r="AI53" s="27"/>
      <c r="AJ53" s="27"/>
      <c r="AK53" s="28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7" x14ac:dyDescent="0.3">
      <c r="A54" s="89">
        <v>5</v>
      </c>
      <c r="B54" s="96">
        <v>1.1217999999999999</v>
      </c>
      <c r="C54" s="97">
        <v>1.1165</v>
      </c>
      <c r="D54" s="47">
        <v>10</v>
      </c>
      <c r="E54" s="47">
        <v>10</v>
      </c>
      <c r="F54" s="91">
        <v>1.1253</v>
      </c>
      <c r="G54" s="91">
        <v>1.1196999999999999</v>
      </c>
      <c r="H54" s="47">
        <v>1</v>
      </c>
      <c r="I54" s="92">
        <f t="shared" si="6"/>
        <v>0.35000000000000586</v>
      </c>
      <c r="J54" s="92">
        <f t="shared" si="7"/>
        <v>0.31999999999998696</v>
      </c>
      <c r="K54" s="93">
        <f t="shared" si="8"/>
        <v>0.33499999999999641</v>
      </c>
      <c r="L54" s="81">
        <v>1.1216999999999999</v>
      </c>
      <c r="M54" s="81">
        <v>1.1168</v>
      </c>
      <c r="N54" s="94">
        <f t="shared" si="9"/>
        <v>360.00000000000472</v>
      </c>
      <c r="O54" s="50">
        <f t="shared" si="10"/>
        <v>289.99999999999022</v>
      </c>
      <c r="P54" s="95">
        <f t="shared" si="11"/>
        <v>324.9999999999975</v>
      </c>
      <c r="Q54" s="4"/>
      <c r="R54" s="4"/>
      <c r="S54" s="4"/>
      <c r="T54" s="4"/>
      <c r="U54" s="26"/>
      <c r="V54" s="102"/>
      <c r="W54" s="103" t="s">
        <v>12</v>
      </c>
      <c r="X54" s="103" t="s">
        <v>13</v>
      </c>
      <c r="Y54" s="103" t="s">
        <v>14</v>
      </c>
      <c r="Z54" s="104" t="s">
        <v>15</v>
      </c>
      <c r="AA54" s="27"/>
      <c r="AB54" s="85"/>
      <c r="AC54" s="27"/>
      <c r="AD54" s="27"/>
      <c r="AE54" s="27"/>
      <c r="AF54" s="105"/>
      <c r="AG54" s="27"/>
      <c r="AH54" s="27"/>
      <c r="AI54" s="27"/>
      <c r="AJ54" s="27"/>
      <c r="AK54" s="28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7" x14ac:dyDescent="0.3">
      <c r="A55" s="106">
        <v>6</v>
      </c>
      <c r="B55" s="96">
        <v>1.1181000000000001</v>
      </c>
      <c r="C55" s="97">
        <v>1.1172</v>
      </c>
      <c r="D55" s="47">
        <v>10</v>
      </c>
      <c r="E55" s="47">
        <v>10</v>
      </c>
      <c r="F55" s="107">
        <v>1.1220000000000001</v>
      </c>
      <c r="G55" s="107">
        <v>1.121</v>
      </c>
      <c r="H55" s="47">
        <v>1</v>
      </c>
      <c r="I55" s="92">
        <f t="shared" si="6"/>
        <v>0.39000000000000146</v>
      </c>
      <c r="J55" s="92">
        <f t="shared" si="7"/>
        <v>0.38000000000000256</v>
      </c>
      <c r="K55" s="93">
        <f t="shared" si="8"/>
        <v>0.38500000000000201</v>
      </c>
      <c r="L55" s="108">
        <v>1.1181000000000001</v>
      </c>
      <c r="M55" s="108">
        <v>1.1177999999999999</v>
      </c>
      <c r="N55" s="94">
        <f t="shared" si="9"/>
        <v>390.00000000000148</v>
      </c>
      <c r="O55" s="50">
        <f t="shared" si="10"/>
        <v>320.00000000000921</v>
      </c>
      <c r="P55" s="95">
        <f t="shared" si="11"/>
        <v>355.00000000000534</v>
      </c>
      <c r="Q55" s="4"/>
      <c r="R55" s="4"/>
      <c r="S55" s="4"/>
      <c r="T55" s="4"/>
      <c r="U55" s="26"/>
      <c r="V55" s="102"/>
      <c r="W55" s="103"/>
      <c r="X55" s="103"/>
      <c r="Y55" s="103"/>
      <c r="Z55" s="104"/>
      <c r="AA55" s="27"/>
      <c r="AB55" s="85"/>
      <c r="AC55" s="27"/>
      <c r="AD55" s="27"/>
      <c r="AE55" s="27"/>
      <c r="AF55" s="105"/>
      <c r="AG55" s="27"/>
      <c r="AH55" s="27"/>
      <c r="AI55" s="27"/>
      <c r="AJ55" s="27"/>
      <c r="AK55" s="28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7" ht="40.5" customHeight="1" x14ac:dyDescent="0.3">
      <c r="A56" s="109" t="s">
        <v>104</v>
      </c>
      <c r="B56" s="96">
        <v>1.1103000000000001</v>
      </c>
      <c r="C56" s="97">
        <v>1.1087</v>
      </c>
      <c r="D56" s="110">
        <v>10</v>
      </c>
      <c r="E56" s="110">
        <v>10</v>
      </c>
      <c r="F56" s="111">
        <v>1.1169</v>
      </c>
      <c r="G56" s="111">
        <v>1.1153999999999999</v>
      </c>
      <c r="H56" s="47">
        <v>1</v>
      </c>
      <c r="I56" s="92">
        <f t="shared" si="6"/>
        <v>0.65999999999999392</v>
      </c>
      <c r="J56" s="92">
        <f t="shared" si="7"/>
        <v>0.66999999999999282</v>
      </c>
      <c r="K56" s="93">
        <f t="shared" si="8"/>
        <v>0.66499999999999337</v>
      </c>
      <c r="L56" s="112">
        <v>1.111</v>
      </c>
      <c r="M56" s="112">
        <v>1.1096999999999999</v>
      </c>
      <c r="N56" s="52">
        <f t="shared" si="9"/>
        <v>590.00000000000171</v>
      </c>
      <c r="O56" s="50">
        <f t="shared" si="10"/>
        <v>570.00000000000387</v>
      </c>
      <c r="P56" s="95">
        <f t="shared" si="11"/>
        <v>580.00000000000273</v>
      </c>
      <c r="Q56" s="4"/>
      <c r="R56" s="4"/>
      <c r="S56" s="4"/>
      <c r="T56" s="4"/>
      <c r="U56" s="26"/>
      <c r="V56" s="102" t="s">
        <v>18</v>
      </c>
      <c r="W56" s="100" t="s">
        <v>19</v>
      </c>
      <c r="X56" s="113">
        <f>H10</f>
        <v>3.7999407189260097</v>
      </c>
      <c r="Y56" s="114"/>
      <c r="Z56" s="115"/>
      <c r="AA56" s="27"/>
      <c r="AB56" s="85"/>
      <c r="AC56" s="27"/>
      <c r="AD56" s="27"/>
      <c r="AE56" s="27"/>
      <c r="AF56" s="27"/>
      <c r="AG56" s="27"/>
      <c r="AH56" s="27"/>
      <c r="AI56" s="27"/>
      <c r="AJ56" s="27"/>
      <c r="AK56" s="28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ht="34.5" customHeight="1" x14ac:dyDescent="0.3">
      <c r="A57" s="4" t="s">
        <v>105</v>
      </c>
      <c r="B57" s="4"/>
      <c r="C57" s="116"/>
      <c r="D57" s="11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26"/>
      <c r="V57" s="102" t="s">
        <v>22</v>
      </c>
      <c r="W57" s="100" t="s">
        <v>106</v>
      </c>
      <c r="X57" s="117">
        <f>H11</f>
        <v>0.17699999999999999</v>
      </c>
      <c r="Y57" s="117">
        <f t="shared" ref="Y57:Z60" si="12">I11</f>
        <v>0.17699999999999999</v>
      </c>
      <c r="Z57" s="118">
        <f t="shared" si="12"/>
        <v>0.17699999999999999</v>
      </c>
      <c r="AA57" s="27"/>
      <c r="AB57" s="85"/>
      <c r="AC57" s="27"/>
      <c r="AD57" s="27"/>
      <c r="AE57" s="27"/>
      <c r="AF57" s="27"/>
      <c r="AG57" s="27"/>
      <c r="AH57" s="27"/>
      <c r="AI57" s="27"/>
      <c r="AJ57" s="27"/>
      <c r="AK57" s="28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26"/>
      <c r="V58" s="102" t="s">
        <v>26</v>
      </c>
      <c r="W58" s="100" t="s">
        <v>27</v>
      </c>
      <c r="X58" s="119">
        <f>H12</f>
        <v>25.953079178885631</v>
      </c>
      <c r="Y58" s="119">
        <f t="shared" si="12"/>
        <v>32.741633515543377</v>
      </c>
      <c r="Z58" s="119">
        <f t="shared" si="12"/>
        <v>23.620471108633257</v>
      </c>
      <c r="AA58" s="27"/>
      <c r="AB58" s="85"/>
      <c r="AC58" s="27"/>
      <c r="AD58" s="27"/>
      <c r="AE58" s="27"/>
      <c r="AF58" s="27"/>
      <c r="AG58" s="27"/>
      <c r="AH58" s="27"/>
      <c r="AI58" s="27"/>
      <c r="AJ58" s="27"/>
      <c r="AK58" s="28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x14ac:dyDescent="0.3">
      <c r="A59" s="179" t="s">
        <v>107</v>
      </c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4"/>
      <c r="Q59" s="4"/>
      <c r="R59" s="4"/>
      <c r="S59" s="4"/>
      <c r="T59" s="4"/>
      <c r="U59" s="26"/>
      <c r="V59" s="102" t="s">
        <v>30</v>
      </c>
      <c r="W59" s="100" t="s">
        <v>19</v>
      </c>
      <c r="X59" s="114">
        <f>H13</f>
        <v>28.97188287046578</v>
      </c>
      <c r="Y59" s="120">
        <f t="shared" si="12"/>
        <v>29.734925689014489</v>
      </c>
      <c r="Z59" s="121">
        <f t="shared" si="12"/>
        <v>32.889427083420557</v>
      </c>
      <c r="AA59" s="27"/>
      <c r="AB59" s="85"/>
      <c r="AC59" s="27"/>
      <c r="AD59" s="27"/>
      <c r="AE59" s="27"/>
      <c r="AF59" s="27"/>
      <c r="AG59" s="27"/>
      <c r="AH59" s="27"/>
      <c r="AI59" s="27"/>
      <c r="AJ59" s="27"/>
      <c r="AK59" s="28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x14ac:dyDescent="0.3">
      <c r="A60" s="55" t="s">
        <v>84</v>
      </c>
      <c r="B60" s="56" t="s">
        <v>108</v>
      </c>
      <c r="C60" s="56" t="s">
        <v>109</v>
      </c>
      <c r="D60" s="56" t="s">
        <v>110</v>
      </c>
      <c r="E60" s="56" t="s">
        <v>111</v>
      </c>
      <c r="F60" s="56" t="s">
        <v>89</v>
      </c>
      <c r="G60" s="56" t="s">
        <v>90</v>
      </c>
      <c r="H60" s="56" t="s">
        <v>112</v>
      </c>
      <c r="I60" s="56" t="s">
        <v>113</v>
      </c>
      <c r="J60" s="56" t="s">
        <v>114</v>
      </c>
      <c r="K60" s="56" t="s">
        <v>95</v>
      </c>
      <c r="L60" s="56" t="s">
        <v>96</v>
      </c>
      <c r="M60" s="56" t="s">
        <v>115</v>
      </c>
      <c r="N60" s="56" t="s">
        <v>116</v>
      </c>
      <c r="O60" s="87" t="s">
        <v>117</v>
      </c>
      <c r="P60" s="4"/>
      <c r="Q60" s="4"/>
      <c r="R60" s="4"/>
      <c r="S60" s="4"/>
      <c r="T60" s="4"/>
      <c r="U60" s="26"/>
      <c r="V60" s="122" t="s">
        <v>33</v>
      </c>
      <c r="W60" s="123" t="s">
        <v>34</v>
      </c>
      <c r="X60" s="124">
        <f>H14</f>
        <v>580.00000000000273</v>
      </c>
      <c r="Y60" s="124">
        <f t="shared" si="12"/>
        <v>334.99999999999642</v>
      </c>
      <c r="Z60" s="125">
        <f t="shared" si="12"/>
        <v>834.99999999999682</v>
      </c>
      <c r="AA60" s="27"/>
      <c r="AB60" s="85"/>
      <c r="AC60" s="27"/>
      <c r="AD60" s="27"/>
      <c r="AE60" s="27"/>
      <c r="AF60" s="27"/>
      <c r="AG60" s="27"/>
      <c r="AH60" s="27"/>
      <c r="AI60" s="27"/>
      <c r="AJ60" s="27"/>
      <c r="AK60" s="28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x14ac:dyDescent="0.3">
      <c r="A61" s="89">
        <v>1</v>
      </c>
      <c r="B61" s="126">
        <v>1.0061</v>
      </c>
      <c r="C61" s="126">
        <v>1.0124</v>
      </c>
      <c r="D61" s="126">
        <v>5.2952000000000004</v>
      </c>
      <c r="E61" s="126">
        <v>5.3098000000000001</v>
      </c>
      <c r="F61" s="127">
        <v>2.2717999999999998</v>
      </c>
      <c r="G61" s="128">
        <v>2.3264999999999998</v>
      </c>
      <c r="H61" s="68">
        <f t="shared" ref="H61:I68" si="13">(F61-B61)*100/(D61-B61)</f>
        <v>29.509687346995864</v>
      </c>
      <c r="I61" s="68">
        <f t="shared" si="13"/>
        <v>30.578954716805505</v>
      </c>
      <c r="J61" s="68">
        <f t="shared" ref="J61:J68" si="14">AVERAGE(H61:I61)</f>
        <v>30.044321031900687</v>
      </c>
      <c r="K61" s="81">
        <v>1.4507000000000001</v>
      </c>
      <c r="L61" s="81">
        <v>1.4722</v>
      </c>
      <c r="M61" s="68">
        <f t="shared" ref="M61:N68" si="15">((F61-K61)/D61)*100</f>
        <v>15.50649644961474</v>
      </c>
      <c r="N61" s="68">
        <f t="shared" si="15"/>
        <v>16.089118234208442</v>
      </c>
      <c r="O61" s="129">
        <f t="shared" ref="O61:O68" si="16">AVERAGE(M61:N61)</f>
        <v>15.797807341911591</v>
      </c>
      <c r="P61" s="4"/>
      <c r="Q61" s="4"/>
      <c r="R61" s="4"/>
      <c r="S61" s="4"/>
      <c r="T61" s="4"/>
      <c r="U61" s="130"/>
      <c r="V61" s="131"/>
      <c r="W61" s="131"/>
      <c r="X61" s="131"/>
      <c r="Y61" s="131"/>
      <c r="Z61" s="131"/>
      <c r="AA61" s="131"/>
      <c r="AB61" s="132"/>
      <c r="AC61" s="131"/>
      <c r="AD61" s="131"/>
      <c r="AE61" s="131"/>
      <c r="AF61" s="131"/>
      <c r="AG61" s="133"/>
      <c r="AH61" s="131"/>
      <c r="AI61" s="131"/>
      <c r="AJ61" s="131"/>
      <c r="AK61" s="13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x14ac:dyDescent="0.3">
      <c r="A62" s="89">
        <v>2</v>
      </c>
      <c r="B62" s="128">
        <v>1.0114000000000001</v>
      </c>
      <c r="C62" s="128">
        <v>1.0056</v>
      </c>
      <c r="D62" s="128">
        <v>5.2580999999999998</v>
      </c>
      <c r="E62" s="128">
        <v>5.1395999999999997</v>
      </c>
      <c r="F62" s="127">
        <v>2.4169999999999998</v>
      </c>
      <c r="G62" s="128">
        <v>2.3565999999999998</v>
      </c>
      <c r="H62" s="68">
        <f t="shared" si="13"/>
        <v>33.098641297948994</v>
      </c>
      <c r="I62" s="68">
        <f t="shared" si="13"/>
        <v>32.680212868892113</v>
      </c>
      <c r="J62" s="68">
        <f t="shared" si="14"/>
        <v>32.889427083420557</v>
      </c>
      <c r="K62" s="135">
        <v>1.5103</v>
      </c>
      <c r="L62" s="135">
        <v>1.4837</v>
      </c>
      <c r="M62" s="68">
        <f t="shared" si="15"/>
        <v>17.243871360377319</v>
      </c>
      <c r="N62" s="68">
        <f t="shared" si="15"/>
        <v>16.983811969803096</v>
      </c>
      <c r="O62" s="129">
        <f t="shared" si="16"/>
        <v>17.113841665090206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x14ac:dyDescent="0.3">
      <c r="A63" s="89">
        <v>3</v>
      </c>
      <c r="B63" s="128">
        <v>0.98880000000000001</v>
      </c>
      <c r="C63" s="128">
        <v>1.0072000000000001</v>
      </c>
      <c r="D63" s="128">
        <v>5.2674000000000003</v>
      </c>
      <c r="E63" s="128">
        <v>5.4188000000000001</v>
      </c>
      <c r="F63" s="127">
        <v>2.3317000000000001</v>
      </c>
      <c r="G63" s="128">
        <v>2.306</v>
      </c>
      <c r="H63" s="68">
        <f t="shared" si="13"/>
        <v>31.386434815126449</v>
      </c>
      <c r="I63" s="68">
        <f t="shared" si="13"/>
        <v>29.440565781122494</v>
      </c>
      <c r="J63" s="68">
        <f t="shared" si="14"/>
        <v>30.413500298124472</v>
      </c>
      <c r="K63" s="135">
        <v>1.4618</v>
      </c>
      <c r="L63" s="135">
        <v>1.4598</v>
      </c>
      <c r="M63" s="68">
        <f t="shared" si="15"/>
        <v>16.51478908000152</v>
      </c>
      <c r="N63" s="68">
        <f t="shared" si="15"/>
        <v>15.616003543219904</v>
      </c>
      <c r="O63" s="129">
        <f t="shared" si="16"/>
        <v>16.065396311610712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ht="24" customHeight="1" x14ac:dyDescent="0.3">
      <c r="A64" s="89">
        <v>4</v>
      </c>
      <c r="B64" s="136">
        <v>1.004</v>
      </c>
      <c r="C64" s="136">
        <v>0.99750000000000005</v>
      </c>
      <c r="D64" s="136">
        <v>5.0895999999999999</v>
      </c>
      <c r="E64" s="136">
        <v>5.3243999999999998</v>
      </c>
      <c r="F64" s="137">
        <v>2.2401</v>
      </c>
      <c r="G64" s="136">
        <v>2.3258000000000001</v>
      </c>
      <c r="H64" s="68">
        <f t="shared" si="13"/>
        <v>30.255042099079699</v>
      </c>
      <c r="I64" s="68">
        <f t="shared" si="13"/>
        <v>30.69865261503617</v>
      </c>
      <c r="J64" s="68">
        <f t="shared" si="14"/>
        <v>30.476847357057935</v>
      </c>
      <c r="K64" s="135">
        <v>1.4349000000000001</v>
      </c>
      <c r="L64" s="135">
        <v>1.4601999999999999</v>
      </c>
      <c r="M64" s="68">
        <f t="shared" si="15"/>
        <v>15.82049669915121</v>
      </c>
      <c r="N64" s="68">
        <f t="shared" si="15"/>
        <v>16.257230861693341</v>
      </c>
      <c r="O64" s="129">
        <f t="shared" si="16"/>
        <v>16.038863780422275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x14ac:dyDescent="0.3">
      <c r="A65" s="89">
        <v>5</v>
      </c>
      <c r="B65" s="136">
        <v>1.0014000000000001</v>
      </c>
      <c r="C65" s="136">
        <v>0.99550000000000005</v>
      </c>
      <c r="D65" s="136">
        <v>5.0068000000000001</v>
      </c>
      <c r="E65" s="136">
        <v>5.5061999999999998</v>
      </c>
      <c r="F65" s="137">
        <v>2.2412000000000001</v>
      </c>
      <c r="G65" s="136">
        <v>2.2818000000000001</v>
      </c>
      <c r="H65" s="68">
        <f t="shared" si="13"/>
        <v>30.953213162230991</v>
      </c>
      <c r="I65" s="68">
        <f t="shared" si="13"/>
        <v>28.51663821579799</v>
      </c>
      <c r="J65" s="68">
        <f t="shared" si="14"/>
        <v>29.734925689014489</v>
      </c>
      <c r="K65" s="135">
        <v>1.4295</v>
      </c>
      <c r="L65" s="135">
        <v>1.44</v>
      </c>
      <c r="M65" s="68">
        <f t="shared" si="15"/>
        <v>16.211951745625949</v>
      </c>
      <c r="N65" s="68">
        <f t="shared" si="15"/>
        <v>15.288220551378448</v>
      </c>
      <c r="O65" s="129">
        <f t="shared" si="16"/>
        <v>15.750086148502199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x14ac:dyDescent="0.3">
      <c r="A66" s="89">
        <v>6</v>
      </c>
      <c r="B66" s="136">
        <v>1.0062</v>
      </c>
      <c r="C66" s="136">
        <v>0.996</v>
      </c>
      <c r="D66" s="136">
        <v>5.0685000000000002</v>
      </c>
      <c r="E66" s="136">
        <v>5.1948999999999996</v>
      </c>
      <c r="F66" s="137">
        <v>2.2471000000000001</v>
      </c>
      <c r="G66" s="136">
        <v>2.226</v>
      </c>
      <c r="H66" s="68">
        <f t="shared" si="13"/>
        <v>30.546734608473034</v>
      </c>
      <c r="I66" s="68">
        <f t="shared" si="13"/>
        <v>29.293386363095095</v>
      </c>
      <c r="J66" s="68">
        <f t="shared" si="14"/>
        <v>29.920060485784063</v>
      </c>
      <c r="K66" s="135">
        <v>1.4378</v>
      </c>
      <c r="L66" s="135">
        <v>1.4217</v>
      </c>
      <c r="M66" s="68">
        <f t="shared" si="15"/>
        <v>15.967248692907173</v>
      </c>
      <c r="N66" s="68">
        <f t="shared" si="15"/>
        <v>15.482492444512888</v>
      </c>
      <c r="O66" s="129">
        <f t="shared" si="16"/>
        <v>15.724870568710031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x14ac:dyDescent="0.3">
      <c r="A67" s="138" t="s">
        <v>118</v>
      </c>
      <c r="B67" s="136">
        <v>1.0041</v>
      </c>
      <c r="C67" s="136">
        <v>0.99280000000000002</v>
      </c>
      <c r="D67" s="136">
        <v>5.3082000000000003</v>
      </c>
      <c r="E67" s="136">
        <v>5.1555</v>
      </c>
      <c r="F67" s="136">
        <v>2.2970000000000002</v>
      </c>
      <c r="G67" s="136">
        <v>2.1543999999999999</v>
      </c>
      <c r="H67" s="68">
        <f t="shared" si="13"/>
        <v>30.038800213749685</v>
      </c>
      <c r="I67" s="68">
        <f t="shared" si="13"/>
        <v>27.904965527181876</v>
      </c>
      <c r="J67" s="68">
        <f t="shared" si="14"/>
        <v>28.97188287046578</v>
      </c>
      <c r="K67" s="135">
        <v>1.4430000000000001</v>
      </c>
      <c r="L67" s="135">
        <v>1.3900999999999999</v>
      </c>
      <c r="M67" s="68">
        <f t="shared" si="15"/>
        <v>16.088316190045589</v>
      </c>
      <c r="N67" s="68">
        <f t="shared" si="15"/>
        <v>14.82494423431287</v>
      </c>
      <c r="O67" s="129">
        <f t="shared" si="16"/>
        <v>15.456630212179229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x14ac:dyDescent="0.3">
      <c r="A68" s="109" t="s">
        <v>119</v>
      </c>
      <c r="B68" s="139">
        <v>1.0059</v>
      </c>
      <c r="C68" s="139">
        <v>0.9798</v>
      </c>
      <c r="D68" s="139">
        <v>5.0523999999999996</v>
      </c>
      <c r="E68" s="139">
        <v>5.1096000000000004</v>
      </c>
      <c r="F68" s="139">
        <v>1.1594</v>
      </c>
      <c r="G68" s="139">
        <v>1.137</v>
      </c>
      <c r="H68" s="68">
        <f t="shared" si="13"/>
        <v>3.7934017051773132</v>
      </c>
      <c r="I68" s="68">
        <f t="shared" si="13"/>
        <v>3.8064797326747057</v>
      </c>
      <c r="J68" s="68">
        <f t="shared" si="14"/>
        <v>3.7999407189260097</v>
      </c>
      <c r="K68" s="140">
        <v>1.0616000000000001</v>
      </c>
      <c r="L68" s="140">
        <v>1.0412999999999999</v>
      </c>
      <c r="M68" s="141">
        <f t="shared" si="15"/>
        <v>1.9357137202121744</v>
      </c>
      <c r="N68" s="141">
        <f t="shared" si="15"/>
        <v>1.8729450446218903</v>
      </c>
      <c r="O68" s="142">
        <f t="shared" si="16"/>
        <v>1.9043293824170324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x14ac:dyDescent="0.3">
      <c r="A69" s="2">
        <v>1</v>
      </c>
      <c r="B69" s="2">
        <v>2</v>
      </c>
      <c r="C69" s="2">
        <v>3</v>
      </c>
      <c r="D69" s="2">
        <v>4</v>
      </c>
      <c r="E69" s="2">
        <v>5</v>
      </c>
      <c r="F69" s="2">
        <v>6</v>
      </c>
      <c r="G69" s="2">
        <v>7</v>
      </c>
      <c r="H69" s="2">
        <v>8</v>
      </c>
      <c r="I69" s="2">
        <v>9</v>
      </c>
      <c r="J69" s="2">
        <v>10</v>
      </c>
      <c r="K69" s="2">
        <v>11</v>
      </c>
      <c r="L69" s="2">
        <v>12</v>
      </c>
      <c r="M69" s="2">
        <v>13</v>
      </c>
      <c r="N69" s="2">
        <v>14</v>
      </c>
      <c r="O69" s="2">
        <v>15</v>
      </c>
      <c r="P69" s="2">
        <v>16</v>
      </c>
      <c r="Q69" s="2">
        <v>17</v>
      </c>
      <c r="R69" s="2">
        <v>18</v>
      </c>
      <c r="S69" s="2">
        <v>19</v>
      </c>
      <c r="T69" s="2">
        <v>20</v>
      </c>
      <c r="U69" s="2">
        <v>21</v>
      </c>
      <c r="V69" s="2">
        <v>22</v>
      </c>
      <c r="W69" s="2">
        <v>23</v>
      </c>
      <c r="X69" s="2">
        <v>24</v>
      </c>
      <c r="Y69" s="2">
        <v>25</v>
      </c>
      <c r="Z69" s="2">
        <v>26</v>
      </c>
      <c r="AA69" s="2">
        <v>27</v>
      </c>
      <c r="AB69" s="2">
        <v>28</v>
      </c>
      <c r="AC69" s="2">
        <v>29</v>
      </c>
      <c r="AD69" s="2">
        <v>30</v>
      </c>
      <c r="AE69" s="2">
        <v>31</v>
      </c>
      <c r="AF69" s="2">
        <v>32</v>
      </c>
      <c r="AG69" s="2">
        <v>33</v>
      </c>
      <c r="AH69" s="2">
        <v>34</v>
      </c>
      <c r="AI69" s="2">
        <v>35</v>
      </c>
      <c r="AJ69" s="2">
        <v>36</v>
      </c>
      <c r="AK69" s="2">
        <v>37</v>
      </c>
      <c r="AL69" s="2">
        <v>38</v>
      </c>
      <c r="AM69" s="2">
        <v>39</v>
      </c>
      <c r="AN69" s="2">
        <v>40</v>
      </c>
      <c r="AO69" s="2">
        <v>41</v>
      </c>
      <c r="AP69" s="2">
        <v>42</v>
      </c>
    </row>
    <row r="70" spans="1:57" s="162" customFormat="1" ht="99" customHeight="1" x14ac:dyDescent="0.3">
      <c r="A70" s="143" t="s">
        <v>64</v>
      </c>
      <c r="B70" s="144" t="s">
        <v>120</v>
      </c>
      <c r="C70" s="144" t="s">
        <v>121</v>
      </c>
      <c r="D70" s="145" t="s">
        <v>122</v>
      </c>
      <c r="E70" s="146" t="s">
        <v>123</v>
      </c>
      <c r="F70" s="147" t="s">
        <v>124</v>
      </c>
      <c r="G70" s="148" t="s">
        <v>125</v>
      </c>
      <c r="H70" s="145" t="s">
        <v>126</v>
      </c>
      <c r="I70" s="149" t="s">
        <v>127</v>
      </c>
      <c r="J70" s="150" t="s">
        <v>128</v>
      </c>
      <c r="K70" s="150" t="s">
        <v>129</v>
      </c>
      <c r="L70" s="150" t="s">
        <v>130</v>
      </c>
      <c r="M70" s="151" t="s">
        <v>128</v>
      </c>
      <c r="N70" s="151" t="s">
        <v>129</v>
      </c>
      <c r="O70" s="151" t="s">
        <v>130</v>
      </c>
      <c r="P70" s="151" t="s">
        <v>131</v>
      </c>
      <c r="Q70" s="152" t="s">
        <v>132</v>
      </c>
      <c r="R70" s="153" t="s">
        <v>124</v>
      </c>
      <c r="S70" s="154" t="s">
        <v>125</v>
      </c>
      <c r="T70" s="155" t="s">
        <v>126</v>
      </c>
      <c r="U70" s="154" t="s">
        <v>127</v>
      </c>
      <c r="V70" s="155" t="s">
        <v>128</v>
      </c>
      <c r="W70" s="155" t="s">
        <v>129</v>
      </c>
      <c r="X70" s="155" t="s">
        <v>130</v>
      </c>
      <c r="Y70" s="156" t="s">
        <v>128</v>
      </c>
      <c r="Z70" s="156" t="s">
        <v>129</v>
      </c>
      <c r="AA70" s="156" t="s">
        <v>130</v>
      </c>
      <c r="AB70" s="158" t="s">
        <v>133</v>
      </c>
      <c r="AC70" s="147" t="s">
        <v>124</v>
      </c>
      <c r="AD70" s="148" t="s">
        <v>125</v>
      </c>
      <c r="AE70" s="145" t="s">
        <v>126</v>
      </c>
      <c r="AF70" s="148" t="s">
        <v>127</v>
      </c>
      <c r="AG70" s="145" t="s">
        <v>134</v>
      </c>
      <c r="AH70" s="145" t="s">
        <v>135</v>
      </c>
      <c r="AI70" s="145" t="s">
        <v>136</v>
      </c>
      <c r="AJ70" s="145" t="s">
        <v>137</v>
      </c>
      <c r="AK70" s="145" t="s">
        <v>138</v>
      </c>
      <c r="AL70" s="145" t="s">
        <v>139</v>
      </c>
      <c r="AM70" s="145" t="s">
        <v>140</v>
      </c>
      <c r="AN70" s="159" t="s">
        <v>134</v>
      </c>
      <c r="AO70" s="159" t="s">
        <v>135</v>
      </c>
      <c r="AP70" s="160" t="s">
        <v>136</v>
      </c>
      <c r="AQ70" s="159" t="s">
        <v>141</v>
      </c>
      <c r="AR70" s="161" t="s">
        <v>142</v>
      </c>
      <c r="AS70" s="147" t="s">
        <v>143</v>
      </c>
      <c r="AT70" s="145" t="s">
        <v>144</v>
      </c>
      <c r="AU70" s="145" t="s">
        <v>145</v>
      </c>
      <c r="AV70" s="145" t="s">
        <v>146</v>
      </c>
      <c r="AW70" s="161"/>
    </row>
    <row r="71" spans="1:57" s="172" customFormat="1" x14ac:dyDescent="0.3">
      <c r="A71" s="163">
        <f t="shared" ref="A71:A76" si="17">I33</f>
        <v>20.007722912874286</v>
      </c>
      <c r="B71" s="149">
        <f t="shared" ref="B71:B76" si="18">C41</f>
        <v>39.533333333333339</v>
      </c>
      <c r="C71" s="149">
        <f t="shared" ref="C71:C76" si="19">B41</f>
        <v>73.233333333333334</v>
      </c>
      <c r="D71" s="149">
        <f t="shared" ref="D71:D76" si="20">J61</f>
        <v>30.044321031900687</v>
      </c>
      <c r="E71" s="164">
        <f t="shared" ref="E71:E76" si="21">K50*1000</f>
        <v>1040.0000000000075</v>
      </c>
      <c r="F71" s="163">
        <f>AVERAGE(B71)</f>
        <v>39.533333333333339</v>
      </c>
      <c r="G71" s="149">
        <f>F71-B71</f>
        <v>0</v>
      </c>
      <c r="H71" s="149">
        <v>20</v>
      </c>
      <c r="I71" s="149">
        <f>IF(AND(G71&gt;H71,G72&gt;H72),1,2)</f>
        <v>2</v>
      </c>
      <c r="J71" s="165">
        <f>INDEX(A71:A76,MATCH(1,I71:I76,0))</f>
        <v>34.901150296083991</v>
      </c>
      <c r="K71" s="165">
        <f>INDEX(D71:D76,MATCH(1,I71:I76,0))</f>
        <v>29.920060485784063</v>
      </c>
      <c r="L71" s="165">
        <f>INDEX(E71:E76,MATCH(1,I71:I76,0))</f>
        <v>385.00000000000199</v>
      </c>
      <c r="M71" s="165">
        <f>J71</f>
        <v>34.901150296083991</v>
      </c>
      <c r="N71" s="165">
        <f>K71</f>
        <v>29.920060485784063</v>
      </c>
      <c r="O71" s="165">
        <f>L71</f>
        <v>385.00000000000199</v>
      </c>
      <c r="P71" s="165"/>
      <c r="Q71" s="166"/>
      <c r="R71" s="167">
        <f>AVERAGE(C71)</f>
        <v>73.233333333333334</v>
      </c>
      <c r="S71" s="168">
        <f>R71-C71</f>
        <v>0</v>
      </c>
      <c r="T71" s="168">
        <v>20</v>
      </c>
      <c r="U71" s="168">
        <f>IF(AND(S71&gt;T71,S72&gt;T72),1,2)</f>
        <v>2</v>
      </c>
      <c r="V71" s="168">
        <f>INDEX(A71:A75,MATCH(1,U71:U76,0))</f>
        <v>32.741633515543377</v>
      </c>
      <c r="W71" s="168">
        <f>INDEX(D71:D76,MATCH(1,U71:U76,0))</f>
        <v>29.734925689014489</v>
      </c>
      <c r="X71" s="168">
        <f>INDEX(E71:E75,MATCH(1,U71:U75,0))</f>
        <v>334.99999999999642</v>
      </c>
      <c r="Y71" s="168">
        <f>V71</f>
        <v>32.741633515543377</v>
      </c>
      <c r="Z71" s="168">
        <f>W71</f>
        <v>29.734925689014489</v>
      </c>
      <c r="AA71" s="168">
        <f>X71</f>
        <v>334.99999999999642</v>
      </c>
      <c r="AB71" s="170"/>
      <c r="AC71" s="163">
        <f>AVERAGE(D71)</f>
        <v>30.044321031900687</v>
      </c>
      <c r="AD71" s="149">
        <f>AC71-D71</f>
        <v>0</v>
      </c>
      <c r="AE71" s="149">
        <v>20</v>
      </c>
      <c r="AF71" s="149">
        <f>IF(AND(AD71&gt;AE71,AD72&gt;AE72),1,2)</f>
        <v>2</v>
      </c>
      <c r="AG71" s="149">
        <f>A72</f>
        <v>23.620471108633257</v>
      </c>
      <c r="AH71" s="149" t="e">
        <f>INDEX(D71:D75,MATCH(1,AF71:AF76,0))</f>
        <v>#N/A</v>
      </c>
      <c r="AI71" s="149" t="e">
        <f>INDEX(E71:E75,MATCH(1,AF71:AF75,0))</f>
        <v>#N/A</v>
      </c>
      <c r="AJ71" s="149">
        <v>812</v>
      </c>
      <c r="AK71" s="171" t="e">
        <f>IF(AND(ISNUMBER(AG71), AG71&lt;AJ71), AI71,"")</f>
        <v>#N/A</v>
      </c>
      <c r="AL71" s="149"/>
      <c r="AM71" s="149" t="e">
        <f>IF((AJ71&gt;AK71),1,2)</f>
        <v>#N/A</v>
      </c>
      <c r="AN71" s="149">
        <f>A72</f>
        <v>23.620471108633257</v>
      </c>
      <c r="AO71" s="149">
        <f>D72</f>
        <v>32.889427083420557</v>
      </c>
      <c r="AP71" s="149">
        <f>E72</f>
        <v>834.99999999999682</v>
      </c>
      <c r="AQ71" s="149" t="s">
        <v>147</v>
      </c>
      <c r="AR71" s="164"/>
      <c r="AS71" s="163">
        <f>D15</f>
        <v>25.953079178885631</v>
      </c>
      <c r="AT71" s="149">
        <f>J67</f>
        <v>28.97188287046578</v>
      </c>
      <c r="AU71" s="149">
        <f>P56</f>
        <v>580.00000000000273</v>
      </c>
      <c r="AV71" s="149">
        <f>J68</f>
        <v>3.7999407189260097</v>
      </c>
      <c r="AW71" s="164"/>
    </row>
    <row r="72" spans="1:57" s="172" customFormat="1" x14ac:dyDescent="0.3">
      <c r="A72" s="163">
        <f t="shared" si="17"/>
        <v>23.620471108633257</v>
      </c>
      <c r="B72" s="149">
        <f t="shared" si="18"/>
        <v>37.400000000000006</v>
      </c>
      <c r="C72" s="149">
        <f t="shared" si="19"/>
        <v>48</v>
      </c>
      <c r="D72" s="149">
        <f t="shared" si="20"/>
        <v>32.889427083420557</v>
      </c>
      <c r="E72" s="164">
        <f t="shared" si="21"/>
        <v>834.99999999999682</v>
      </c>
      <c r="F72" s="163">
        <f>AVERAGE(B71:B72)</f>
        <v>38.466666666666669</v>
      </c>
      <c r="G72" s="149">
        <f>(F71-B72)*100/F71</f>
        <v>5.3962900505902169</v>
      </c>
      <c r="H72" s="149">
        <v>20</v>
      </c>
      <c r="I72" s="149">
        <f>IF(AND(G71&gt;H71,G72&gt;H72,G73&lt;H73),1,2)</f>
        <v>2</v>
      </c>
      <c r="J72" s="165"/>
      <c r="K72" s="165"/>
      <c r="L72" s="165"/>
      <c r="M72" s="173"/>
      <c r="N72" s="165"/>
      <c r="O72" s="165"/>
      <c r="P72" s="165"/>
      <c r="Q72" s="166"/>
      <c r="R72" s="167">
        <f>AVERAGE(C71:C72)</f>
        <v>60.616666666666667</v>
      </c>
      <c r="S72" s="168">
        <f>(R71-C72)*100/R71</f>
        <v>34.45607646791079</v>
      </c>
      <c r="T72" s="168">
        <v>20</v>
      </c>
      <c r="U72" s="168">
        <f>IF(AND(S71&gt;T71,S72&gt;T72,S73&lt;T73),1,2)</f>
        <v>2</v>
      </c>
      <c r="V72" s="168"/>
      <c r="W72" s="168"/>
      <c r="X72" s="168"/>
      <c r="Y72" s="168"/>
      <c r="Z72" s="168"/>
      <c r="AA72" s="168"/>
      <c r="AB72" s="170"/>
      <c r="AC72" s="163">
        <f>AVERAGE(D71:D72)</f>
        <v>31.466874057660622</v>
      </c>
      <c r="AD72" s="149">
        <f>(AC71-D72)*100/AC71</f>
        <v>-9.4696966142086296</v>
      </c>
      <c r="AE72" s="149">
        <v>20</v>
      </c>
      <c r="AF72" s="149">
        <f>IF(AND(AD71&gt;AE71,AD72&gt;AE72,AD73&lt;AE73),1,2)</f>
        <v>2</v>
      </c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64"/>
      <c r="AS72" s="163"/>
      <c r="AT72" s="149"/>
      <c r="AU72" s="149"/>
      <c r="AV72" s="149"/>
      <c r="AW72" s="164"/>
    </row>
    <row r="73" spans="1:57" s="172" customFormat="1" x14ac:dyDescent="0.3">
      <c r="A73" s="163">
        <f t="shared" si="17"/>
        <v>27.258618248517067</v>
      </c>
      <c r="B73" s="149">
        <f t="shared" si="18"/>
        <v>31.049999999999997</v>
      </c>
      <c r="C73" s="149">
        <f t="shared" si="19"/>
        <v>46.833333333333336</v>
      </c>
      <c r="D73" s="149">
        <f t="shared" si="20"/>
        <v>30.413500298124472</v>
      </c>
      <c r="E73" s="164">
        <f t="shared" si="21"/>
        <v>759.99999999999397</v>
      </c>
      <c r="F73" s="163">
        <f>AVERAGE(B72:B73)</f>
        <v>34.225000000000001</v>
      </c>
      <c r="G73" s="149">
        <f>(F72-B73)*100/F72</f>
        <v>19.280762564991349</v>
      </c>
      <c r="H73" s="149">
        <v>20</v>
      </c>
      <c r="I73" s="149">
        <f>IF(AND(G72&gt;H72,G73&gt;H73,G74&lt;H74),1,2)</f>
        <v>2</v>
      </c>
      <c r="J73" s="165"/>
      <c r="K73" s="165"/>
      <c r="L73" s="165"/>
      <c r="M73" s="165"/>
      <c r="N73" s="165"/>
      <c r="O73" s="165"/>
      <c r="P73" s="165"/>
      <c r="Q73" s="166"/>
      <c r="R73" s="167">
        <f>AVERAGE(C72:C73)</f>
        <v>47.416666666666671</v>
      </c>
      <c r="S73" s="168">
        <f>(R72-C73)*100/R72</f>
        <v>22.738520758867192</v>
      </c>
      <c r="T73" s="168">
        <v>20</v>
      </c>
      <c r="U73" s="168">
        <f>IF(AND(S72&gt;T72,S73&gt;T73,S74&lt;T74),1,2)</f>
        <v>2</v>
      </c>
      <c r="V73" s="168"/>
      <c r="W73" s="168"/>
      <c r="X73" s="168"/>
      <c r="Y73" s="168"/>
      <c r="Z73" s="168"/>
      <c r="AA73" s="168"/>
      <c r="AB73" s="170"/>
      <c r="AC73" s="163">
        <f>AVERAGE(D72:D73)</f>
        <v>31.651463690772516</v>
      </c>
      <c r="AD73" s="149">
        <f>(AC72-D73)*100/AC72</f>
        <v>3.3475640370439206</v>
      </c>
      <c r="AE73" s="149">
        <v>20</v>
      </c>
      <c r="AF73" s="149">
        <f>IF(AND(AD72&gt;AE72,AD73&gt;AE73,AD74&lt;AE74),1,2)</f>
        <v>2</v>
      </c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64"/>
      <c r="AS73" s="163"/>
      <c r="AT73" s="149"/>
      <c r="AU73" s="149"/>
      <c r="AV73" s="149"/>
      <c r="AW73" s="164"/>
    </row>
    <row r="74" spans="1:57" s="172" customFormat="1" x14ac:dyDescent="0.3">
      <c r="A74" s="163">
        <f t="shared" si="17"/>
        <v>29.38051419007007</v>
      </c>
      <c r="B74" s="149">
        <f t="shared" si="18"/>
        <v>28.400000000000002</v>
      </c>
      <c r="C74" s="149">
        <f t="shared" si="19"/>
        <v>37.733333333333334</v>
      </c>
      <c r="D74" s="149">
        <f t="shared" si="20"/>
        <v>30.476847357057935</v>
      </c>
      <c r="E74" s="164">
        <f t="shared" si="21"/>
        <v>395.00000000000091</v>
      </c>
      <c r="F74" s="163">
        <f>AVERAGE(B73:B74)</f>
        <v>29.725000000000001</v>
      </c>
      <c r="G74" s="149">
        <f>(F73-B74)*100/F73</f>
        <v>17.019722425127828</v>
      </c>
      <c r="H74" s="149">
        <v>20</v>
      </c>
      <c r="I74" s="149">
        <f>IF(AND(G73&gt;H73,G74&gt;H74,G75&lt;H75),1,2)</f>
        <v>2</v>
      </c>
      <c r="J74" s="165"/>
      <c r="K74" s="165"/>
      <c r="L74" s="165"/>
      <c r="M74" s="165"/>
      <c r="N74" s="165"/>
      <c r="O74" s="165"/>
      <c r="P74" s="165"/>
      <c r="Q74" s="166"/>
      <c r="R74" s="167">
        <f>AVERAGE(C73:C74)</f>
        <v>42.283333333333331</v>
      </c>
      <c r="S74" s="168">
        <f>(R73-C74)*100/R73</f>
        <v>20.42179261862918</v>
      </c>
      <c r="T74" s="168">
        <v>20</v>
      </c>
      <c r="U74" s="168">
        <f>IF(AND(S73&gt;T73,S74&gt;T74,S75&lt;T75),1,2)</f>
        <v>2</v>
      </c>
      <c r="V74" s="168"/>
      <c r="W74" s="168"/>
      <c r="X74" s="168"/>
      <c r="Y74" s="168"/>
      <c r="Z74" s="168"/>
      <c r="AA74" s="168"/>
      <c r="AB74" s="170"/>
      <c r="AC74" s="163">
        <f>AVERAGE(D73:D74)</f>
        <v>30.445173827591205</v>
      </c>
      <c r="AD74" s="149">
        <f>(AC73-D74)*100/AC73</f>
        <v>3.711096413076854</v>
      </c>
      <c r="AE74" s="149">
        <v>20</v>
      </c>
      <c r="AF74" s="149">
        <f>IF(AND(AD73&gt;AE73,AD74&gt;AE74,AD75&lt;AE75),1,2)</f>
        <v>2</v>
      </c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64"/>
      <c r="AS74" s="163"/>
      <c r="AT74" s="149"/>
      <c r="AU74" s="149"/>
      <c r="AV74" s="149"/>
      <c r="AW74" s="164"/>
    </row>
    <row r="75" spans="1:57" s="172" customFormat="1" x14ac:dyDescent="0.3">
      <c r="A75" s="163">
        <f t="shared" si="17"/>
        <v>32.741633515543377</v>
      </c>
      <c r="B75" s="149">
        <f t="shared" si="18"/>
        <v>15.800000000000002</v>
      </c>
      <c r="C75" s="149">
        <f t="shared" si="19"/>
        <v>28.233333333333334</v>
      </c>
      <c r="D75" s="149">
        <f t="shared" si="20"/>
        <v>29.734925689014489</v>
      </c>
      <c r="E75" s="164">
        <f t="shared" si="21"/>
        <v>334.99999999999642</v>
      </c>
      <c r="F75" s="163">
        <f>AVERAGE(B74:B75)</f>
        <v>22.1</v>
      </c>
      <c r="G75" s="149">
        <f>(F74-B75)*100/F74</f>
        <v>46.846089150546675</v>
      </c>
      <c r="H75" s="149">
        <v>20</v>
      </c>
      <c r="I75" s="149">
        <f>IF(AND(G74&gt;H74,G75&gt;H75,G76&lt;H76),1,2)</f>
        <v>2</v>
      </c>
      <c r="J75" s="165"/>
      <c r="K75" s="165"/>
      <c r="L75" s="165"/>
      <c r="M75" s="165"/>
      <c r="N75" s="165"/>
      <c r="O75" s="165"/>
      <c r="P75" s="165"/>
      <c r="Q75" s="166"/>
      <c r="R75" s="167">
        <f>AVERAGE(C74:C75)</f>
        <v>32.983333333333334</v>
      </c>
      <c r="S75" s="168">
        <f>(R74-C75)*100/R74</f>
        <v>33.22822230981474</v>
      </c>
      <c r="T75" s="168">
        <v>20</v>
      </c>
      <c r="U75" s="168">
        <f>IF(AND(S74&gt;T74,S75&gt;T75,S76&lt;T76),1,2)</f>
        <v>1</v>
      </c>
      <c r="V75" s="168"/>
      <c r="W75" s="168"/>
      <c r="X75" s="168"/>
      <c r="Y75" s="168"/>
      <c r="Z75" s="168"/>
      <c r="AA75" s="168"/>
      <c r="AB75" s="170"/>
      <c r="AC75" s="163">
        <f>AVERAGE(D74:D75)</f>
        <v>30.105886523036212</v>
      </c>
      <c r="AD75" s="149">
        <f>(AC74-D75)*100/AC74</f>
        <v>2.3328759513701569</v>
      </c>
      <c r="AE75" s="149">
        <v>20</v>
      </c>
      <c r="AF75" s="149">
        <f>IF(AND(AD74&gt;AE74,AD75&gt;AE75,AD76&lt;AE76),1,2)</f>
        <v>2</v>
      </c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64"/>
      <c r="AS75" s="163"/>
      <c r="AT75" s="149"/>
      <c r="AU75" s="149"/>
      <c r="AV75" s="149"/>
      <c r="AW75" s="164"/>
    </row>
    <row r="76" spans="1:57" s="172" customFormat="1" x14ac:dyDescent="0.3">
      <c r="A76" s="163">
        <f t="shared" si="17"/>
        <v>34.901150296083991</v>
      </c>
      <c r="B76" s="149">
        <f t="shared" si="18"/>
        <v>12</v>
      </c>
      <c r="C76" s="149">
        <f t="shared" si="19"/>
        <v>28.599999999999998</v>
      </c>
      <c r="D76" s="149">
        <f t="shared" si="20"/>
        <v>29.920060485784063</v>
      </c>
      <c r="E76" s="164">
        <f t="shared" si="21"/>
        <v>385.00000000000199</v>
      </c>
      <c r="F76" s="163">
        <f>AVERAGE(B75:B76)</f>
        <v>13.900000000000002</v>
      </c>
      <c r="G76" s="149">
        <f>(F75-B76)*100/F75</f>
        <v>45.701357466063349</v>
      </c>
      <c r="H76" s="149">
        <v>20</v>
      </c>
      <c r="I76" s="149">
        <f>IF(AND(G75&gt;H75,G76&gt;H76),1,2)</f>
        <v>1</v>
      </c>
      <c r="J76" s="165"/>
      <c r="K76" s="165"/>
      <c r="L76" s="165"/>
      <c r="M76" s="165"/>
      <c r="N76" s="165"/>
      <c r="O76" s="165"/>
      <c r="P76" s="165"/>
      <c r="Q76" s="166"/>
      <c r="R76" s="167">
        <f>AVERAGE(C75:C76)</f>
        <v>28.416666666666664</v>
      </c>
      <c r="S76" s="168">
        <f>(R75-C76)*100/R75</f>
        <v>13.289540171803951</v>
      </c>
      <c r="T76" s="168">
        <v>20</v>
      </c>
      <c r="U76" s="168">
        <f>IF(AND(S75&gt;T75,S76&gt;T76),1,2)</f>
        <v>2</v>
      </c>
      <c r="V76" s="168"/>
      <c r="W76" s="168"/>
      <c r="X76" s="168"/>
      <c r="Y76" s="168"/>
      <c r="Z76" s="168"/>
      <c r="AA76" s="168"/>
      <c r="AB76" s="170"/>
      <c r="AC76" s="163">
        <f>AVERAGE(D75:D76)</f>
        <v>29.827493087399276</v>
      </c>
      <c r="AD76" s="149">
        <f>(AC75-D76)*100/AC75</f>
        <v>0.61724153882649979</v>
      </c>
      <c r="AE76" s="149">
        <v>20</v>
      </c>
      <c r="AF76" s="149">
        <f>IF(AND(AD75&gt;AE75,AD76&gt;AE76),1,2)</f>
        <v>2</v>
      </c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64"/>
      <c r="AS76" s="163"/>
      <c r="AT76" s="149"/>
      <c r="AU76" s="149"/>
      <c r="AV76" s="149"/>
      <c r="AW76" s="164"/>
    </row>
  </sheetData>
  <mergeCells count="15">
    <mergeCell ref="U5:AK7"/>
    <mergeCell ref="A7:D7"/>
    <mergeCell ref="A17:C17"/>
    <mergeCell ref="A23:C23"/>
    <mergeCell ref="A26:C26"/>
    <mergeCell ref="A31:R31"/>
    <mergeCell ref="A39:M39"/>
    <mergeCell ref="D40:H40"/>
    <mergeCell ref="I40:M40"/>
    <mergeCell ref="U43:AB44"/>
    <mergeCell ref="AC43:AK44"/>
    <mergeCell ref="X47:Z47"/>
    <mergeCell ref="A48:P48"/>
    <mergeCell ref="V52:Z52"/>
    <mergeCell ref="A59:O59"/>
  </mergeCells>
  <conditionalFormatting sqref="X56">
    <cfRule type="cellIs" dxfId="6" priority="2" operator="lessThan">
      <formula>3</formula>
    </cfRule>
    <cfRule type="cellIs" dxfId="5" priority="3" operator="greaterThan">
      <formula>3.9</formula>
    </cfRule>
    <cfRule type="cellIs" dxfId="4" priority="4" operator="between">
      <formula>3</formula>
      <formula>3.9</formula>
    </cfRule>
    <cfRule type="cellIs" dxfId="3" priority="5" operator="between">
      <formula>3</formula>
      <formula>3.9</formula>
    </cfRule>
    <cfRule type="cellIs" dxfId="2" priority="6" operator="between">
      <formula>3.15</formula>
      <formula>3.85</formula>
    </cfRule>
  </conditionalFormatting>
  <conditionalFormatting sqref="X60:Z60">
    <cfRule type="cellIs" dxfId="1" priority="7" operator="greaterThan">
      <formula>812</formula>
    </cfRule>
    <cfRule type="cellIs" dxfId="0" priority="8" operator="lessThan">
      <formula>812</formula>
    </cfRule>
  </conditionalFormatting>
  <printOptions horizontalCentered="1"/>
  <pageMargins left="0.25" right="0.25" top="1.25" bottom="1" header="0.511811023622047" footer="0.511811023622047"/>
  <pageSetup paperSize="9" orientation="portrait" horizontalDpi="300" verticalDpi="300"/>
  <rowBreaks count="4" manualBreakCount="4">
    <brk id="15" max="16383" man="1"/>
    <brk id="18" max="16383" man="1"/>
    <brk id="22" max="16383" man="1"/>
    <brk id="31" max="16383" man="1"/>
  </rowBreaks>
  <colBreaks count="3" manualBreakCount="3">
    <brk id="39" max="1048575" man="1"/>
    <brk id="43" max="1048575" man="1"/>
    <brk id="53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05_28_2020</vt:lpstr>
      <vt:lpstr>05_21_2020</vt:lpstr>
      <vt:lpstr>'05_21_2020'!Print_Area</vt:lpstr>
      <vt:lpstr>'05_28_2020'!Print_Area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Hafiza Khadija Ijaz</dc:creator>
  <dc:description/>
  <cp:lastModifiedBy>Parnia Behbahani</cp:lastModifiedBy>
  <cp:revision>3</cp:revision>
  <dcterms:created xsi:type="dcterms:W3CDTF">2024-03-14T18:07:00Z</dcterms:created>
  <dcterms:modified xsi:type="dcterms:W3CDTF">2025-05-22T17:06:05Z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0x010100912C242DEA52DD4CB83602DBBF46ADCE</vt:lpwstr>
  </property>
</Properties>
</file>