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Projects\Dewatering\"/>
    </mc:Choice>
  </mc:AlternateContent>
  <xr:revisionPtr revIDLastSave="0" documentId="13_ncr:1_{15D6828B-3AA3-4ABF-BAFB-E8AEF3716D42}" xr6:coauthVersionLast="47" xr6:coauthVersionMax="47" xr10:uidLastSave="{00000000-0000-0000-0000-000000000000}"/>
  <bookViews>
    <workbookView xWindow="28680" yWindow="-120" windowWidth="16440" windowHeight="28320" xr2:uid="{E743245A-0047-4C07-A2C2-1B55E696AB5A}"/>
  </bookViews>
  <sheets>
    <sheet name="03_18_2025"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2" l="1"/>
  <c r="B46" i="2"/>
  <c r="B45" i="2"/>
  <c r="B44" i="2"/>
  <c r="B43" i="2"/>
  <c r="C103" i="2" l="1"/>
  <c r="B103" i="2"/>
  <c r="AS98" i="2"/>
  <c r="N93" i="2"/>
  <c r="M93" i="2"/>
  <c r="O93" i="2" s="1"/>
  <c r="I93" i="2"/>
  <c r="H93" i="2"/>
  <c r="J93" i="2" s="1"/>
  <c r="N92" i="2"/>
  <c r="M92" i="2"/>
  <c r="O92" i="2" s="1"/>
  <c r="I92" i="2"/>
  <c r="H92" i="2"/>
  <c r="J92" i="2" s="1"/>
  <c r="I91" i="2"/>
  <c r="H91" i="2"/>
  <c r="J91" i="2" s="1"/>
  <c r="N90" i="2"/>
  <c r="M90" i="2"/>
  <c r="O90" i="2" s="1"/>
  <c r="I90" i="2"/>
  <c r="H90" i="2"/>
  <c r="J90" i="2" s="1"/>
  <c r="N89" i="2"/>
  <c r="M89" i="2"/>
  <c r="O89" i="2" s="1"/>
  <c r="I89" i="2"/>
  <c r="H89" i="2"/>
  <c r="J89" i="2" s="1"/>
  <c r="N88" i="2"/>
  <c r="M88" i="2"/>
  <c r="O88" i="2" s="1"/>
  <c r="I88" i="2"/>
  <c r="J88" i="2" s="1"/>
  <c r="H88" i="2"/>
  <c r="N87" i="2"/>
  <c r="M87" i="2"/>
  <c r="O87" i="2" s="1"/>
  <c r="I87" i="2"/>
  <c r="H87" i="2"/>
  <c r="N86" i="2"/>
  <c r="M86" i="2"/>
  <c r="O86" i="2" s="1"/>
  <c r="I86" i="2"/>
  <c r="H86" i="2"/>
  <c r="J86" i="2" s="1"/>
  <c r="O83" i="2"/>
  <c r="P83" i="2" s="1"/>
  <c r="N83" i="2"/>
  <c r="J83" i="2"/>
  <c r="I83" i="2"/>
  <c r="K83" i="2" s="1"/>
  <c r="J82" i="2"/>
  <c r="I82" i="2"/>
  <c r="K82" i="2" s="1"/>
  <c r="O81" i="2"/>
  <c r="P81" i="2" s="1"/>
  <c r="N81" i="2"/>
  <c r="J81" i="2"/>
  <c r="I81" i="2"/>
  <c r="K81" i="2" s="1"/>
  <c r="O80" i="2"/>
  <c r="N80" i="2"/>
  <c r="P80" i="2" s="1"/>
  <c r="J80" i="2"/>
  <c r="I80" i="2"/>
  <c r="K80" i="2" s="1"/>
  <c r="O79" i="2"/>
  <c r="N79" i="2"/>
  <c r="P79" i="2" s="1"/>
  <c r="J79" i="2"/>
  <c r="I79" i="2"/>
  <c r="K79" i="2" s="1"/>
  <c r="O78" i="2"/>
  <c r="P78" i="2" s="1"/>
  <c r="N78" i="2"/>
  <c r="J78" i="2"/>
  <c r="I78" i="2"/>
  <c r="O77" i="2"/>
  <c r="P77" i="2" s="1"/>
  <c r="N77" i="2"/>
  <c r="J77" i="2"/>
  <c r="I77" i="2"/>
  <c r="K77" i="2" s="1"/>
  <c r="N70" i="2"/>
  <c r="O70" i="2" s="1"/>
  <c r="I70" i="2"/>
  <c r="H70" i="2"/>
  <c r="J70" i="2" s="1"/>
  <c r="AV98" i="2" s="1"/>
  <c r="N69" i="2"/>
  <c r="M69" i="2"/>
  <c r="O69" i="2" s="1"/>
  <c r="I69" i="2"/>
  <c r="H69" i="2"/>
  <c r="J69" i="2" s="1"/>
  <c r="AT98" i="2" s="1"/>
  <c r="H13" i="2" s="1"/>
  <c r="AI24" i="2" s="1"/>
  <c r="J68" i="2"/>
  <c r="D103" i="2" s="1"/>
  <c r="I68" i="2"/>
  <c r="H68" i="2"/>
  <c r="N67" i="2"/>
  <c r="M67" i="2"/>
  <c r="O67" i="2" s="1"/>
  <c r="I67" i="2"/>
  <c r="H67" i="2"/>
  <c r="N66" i="2"/>
  <c r="M66" i="2"/>
  <c r="O66" i="2" s="1"/>
  <c r="I66" i="2"/>
  <c r="H66" i="2"/>
  <c r="J66" i="2" s="1"/>
  <c r="D101" i="2" s="1"/>
  <c r="N65" i="2"/>
  <c r="M65" i="2"/>
  <c r="O65" i="2" s="1"/>
  <c r="I65" i="2"/>
  <c r="H65" i="2"/>
  <c r="J65" i="2" s="1"/>
  <c r="D100" i="2" s="1"/>
  <c r="N64" i="2"/>
  <c r="M64" i="2"/>
  <c r="I64" i="2"/>
  <c r="H64" i="2"/>
  <c r="J64" i="2" s="1"/>
  <c r="D99" i="2" s="1"/>
  <c r="N63" i="2"/>
  <c r="M63" i="2"/>
  <c r="I63" i="2"/>
  <c r="H63" i="2"/>
  <c r="J63" i="2" s="1"/>
  <c r="D98" i="2" s="1"/>
  <c r="O58" i="2"/>
  <c r="P58" i="2" s="1"/>
  <c r="N58" i="2"/>
  <c r="J58" i="2"/>
  <c r="I58" i="2"/>
  <c r="K58" i="2" s="1"/>
  <c r="AU98" i="2" s="1"/>
  <c r="H14" i="2" s="1"/>
  <c r="AI25" i="2" s="1"/>
  <c r="O57" i="2"/>
  <c r="P57" i="2" s="1"/>
  <c r="N57" i="2"/>
  <c r="J57" i="2"/>
  <c r="I57" i="2"/>
  <c r="K57" i="2" s="1"/>
  <c r="E103" i="2" s="1"/>
  <c r="O56" i="2"/>
  <c r="P56" i="2" s="1"/>
  <c r="N56" i="2"/>
  <c r="J56" i="2"/>
  <c r="I56" i="2"/>
  <c r="O55" i="2"/>
  <c r="N55" i="2"/>
  <c r="P55" i="2" s="1"/>
  <c r="J55" i="2"/>
  <c r="I55" i="2"/>
  <c r="K55" i="2" s="1"/>
  <c r="E101" i="2" s="1"/>
  <c r="O54" i="2"/>
  <c r="P54" i="2" s="1"/>
  <c r="N54" i="2"/>
  <c r="J54" i="2"/>
  <c r="I54" i="2"/>
  <c r="K54" i="2" s="1"/>
  <c r="E100" i="2" s="1"/>
  <c r="O53" i="2"/>
  <c r="N53" i="2"/>
  <c r="J53" i="2"/>
  <c r="I53" i="2"/>
  <c r="K53" i="2" s="1"/>
  <c r="E99" i="2" s="1"/>
  <c r="O52" i="2"/>
  <c r="P52" i="2" s="1"/>
  <c r="N52" i="2"/>
  <c r="J52" i="2"/>
  <c r="I52" i="2"/>
  <c r="K52" i="2" s="1"/>
  <c r="E98" i="2" s="1"/>
  <c r="C46" i="2"/>
  <c r="B102" i="2" s="1"/>
  <c r="F103" i="2" s="1"/>
  <c r="G103" i="2" s="1"/>
  <c r="C102" i="2"/>
  <c r="C45" i="2"/>
  <c r="B101" i="2" s="1"/>
  <c r="F102" i="2" s="1"/>
  <c r="G102" i="2" s="1"/>
  <c r="C101" i="2"/>
  <c r="R102" i="2" s="1"/>
  <c r="S102" i="2" s="1"/>
  <c r="C44" i="2"/>
  <c r="B100" i="2" s="1"/>
  <c r="F101" i="2" s="1"/>
  <c r="G101" i="2" s="1"/>
  <c r="I102" i="2" s="1"/>
  <c r="C100" i="2"/>
  <c r="C43" i="2"/>
  <c r="B99" i="2" s="1"/>
  <c r="F100" i="2" s="1"/>
  <c r="C99" i="2"/>
  <c r="R100" i="2" s="1"/>
  <c r="S100" i="2" s="1"/>
  <c r="C42" i="2"/>
  <c r="B98" i="2" s="1"/>
  <c r="B42" i="2"/>
  <c r="C98" i="2" s="1"/>
  <c r="R98" i="2" s="1"/>
  <c r="P38" i="2"/>
  <c r="O38" i="2"/>
  <c r="H38" i="2"/>
  <c r="C38" i="2"/>
  <c r="P37" i="2"/>
  <c r="O37" i="2"/>
  <c r="H37" i="2"/>
  <c r="C37" i="2"/>
  <c r="E37" i="2" s="1"/>
  <c r="P36" i="2"/>
  <c r="O36" i="2"/>
  <c r="H36" i="2"/>
  <c r="C36" i="2"/>
  <c r="P35" i="2"/>
  <c r="O35" i="2"/>
  <c r="Q35" i="2" s="1"/>
  <c r="R35" i="2" s="1"/>
  <c r="H35" i="2"/>
  <c r="C35" i="2"/>
  <c r="E35" i="2" s="1"/>
  <c r="P34" i="2"/>
  <c r="O34" i="2"/>
  <c r="H34" i="2"/>
  <c r="C34" i="2"/>
  <c r="E34" i="2" s="1"/>
  <c r="P33" i="2"/>
  <c r="O33" i="2"/>
  <c r="H33" i="2"/>
  <c r="C33" i="2"/>
  <c r="B22" i="2"/>
  <c r="B24" i="2" s="1"/>
  <c r="D15" i="2"/>
  <c r="X13" i="2"/>
  <c r="H12" i="2"/>
  <c r="AI23" i="2" s="1"/>
  <c r="D12" i="2"/>
  <c r="J11" i="2"/>
  <c r="I11" i="2"/>
  <c r="H11" i="2"/>
  <c r="AI22" i="2" s="1"/>
  <c r="D11" i="2"/>
  <c r="D13" i="2" s="1"/>
  <c r="H10" i="2"/>
  <c r="AI21" i="2" s="1"/>
  <c r="D10" i="2"/>
  <c r="D8" i="2" s="1"/>
  <c r="D14" i="2" s="1"/>
  <c r="D9" i="2"/>
  <c r="G8" i="2"/>
  <c r="R103" i="2" l="1"/>
  <c r="S103" i="2" s="1"/>
  <c r="U103" i="2" s="1"/>
  <c r="I34" i="2"/>
  <c r="A99" i="2" s="1"/>
  <c r="Q34" i="2"/>
  <c r="I35" i="2"/>
  <c r="A100" i="2" s="1"/>
  <c r="O63" i="2"/>
  <c r="E36" i="2"/>
  <c r="I36" i="2"/>
  <c r="A101" i="2" s="1"/>
  <c r="P53" i="2"/>
  <c r="O64" i="2"/>
  <c r="K78" i="2"/>
  <c r="J87" i="2"/>
  <c r="AF108" i="2"/>
  <c r="E38" i="2"/>
  <c r="Q38" i="2"/>
  <c r="R38" i="2" s="1"/>
  <c r="I37" i="2"/>
  <c r="A102" i="2" s="1"/>
  <c r="Q37" i="2"/>
  <c r="R37" i="2" s="1"/>
  <c r="I38" i="2"/>
  <c r="A103" i="2" s="1"/>
  <c r="K56" i="2"/>
  <c r="E102" i="2" s="1"/>
  <c r="J67" i="2"/>
  <c r="D102" i="2" s="1"/>
  <c r="E33" i="2"/>
  <c r="G100" i="2"/>
  <c r="R101" i="2"/>
  <c r="S101" i="2" s="1"/>
  <c r="U101" i="2" s="1"/>
  <c r="I101" i="2"/>
  <c r="AC108" i="2"/>
  <c r="AC107" i="2"/>
  <c r="AE107" i="2" s="1"/>
  <c r="I33" i="2"/>
  <c r="A98" i="2" s="1"/>
  <c r="F99" i="2"/>
  <c r="G99" i="2" s="1"/>
  <c r="I100" i="2" s="1"/>
  <c r="F98" i="2"/>
  <c r="G98" i="2" s="1"/>
  <c r="R99" i="2"/>
  <c r="S99" i="2" s="1"/>
  <c r="U99" i="2" s="1"/>
  <c r="Q36" i="2"/>
  <c r="R34" i="2"/>
  <c r="R36" i="2"/>
  <c r="Q33" i="2"/>
  <c r="R33" i="2" s="1"/>
  <c r="I103" i="2"/>
  <c r="U102" i="2" l="1"/>
  <c r="I99" i="2"/>
  <c r="U100" i="2"/>
  <c r="V98" i="2" s="1"/>
  <c r="AC98" i="2" s="1"/>
  <c r="AD98" i="2" s="1"/>
  <c r="W98" i="2"/>
  <c r="Z98" i="2" s="1"/>
  <c r="I13" i="2" s="1"/>
  <c r="AJ24" i="2" s="1"/>
  <c r="AE98" i="2"/>
  <c r="AE99" i="2"/>
  <c r="X98" i="2"/>
  <c r="AA98" i="2" s="1"/>
  <c r="I14" i="2" s="1"/>
  <c r="AJ25" i="2" s="1"/>
  <c r="L98" i="2"/>
  <c r="O98" i="2" s="1"/>
  <c r="J98" i="2"/>
  <c r="M98" i="2" s="1"/>
  <c r="K98" i="2"/>
  <c r="N98" i="2" s="1"/>
  <c r="AC109" i="2"/>
  <c r="AE104" i="2" l="1"/>
  <c r="AE100" i="2" s="1"/>
  <c r="AC104" i="2"/>
  <c r="AD104" i="2" s="1"/>
  <c r="AC105" i="2"/>
  <c r="AD105" i="2" s="1"/>
  <c r="Y98" i="2"/>
  <c r="I12" i="2" s="1"/>
  <c r="AJ23" i="2" s="1"/>
  <c r="AC99" i="2"/>
  <c r="AD99" i="2" s="1"/>
  <c r="AC101" i="2"/>
  <c r="AD101" i="2" s="1"/>
  <c r="AC100" i="2"/>
  <c r="AD100" i="2" s="1"/>
  <c r="AC102" i="2"/>
  <c r="AD102" i="2" s="1"/>
  <c r="AC103" i="2"/>
  <c r="AD103" i="2" s="1"/>
  <c r="AZ105" i="2" l="1"/>
  <c r="AZ104" i="2"/>
  <c r="AZ103" i="2"/>
  <c r="AZ101" i="2"/>
  <c r="AZ102" i="2"/>
  <c r="AZ98" i="2"/>
  <c r="AZ99" i="2"/>
  <c r="AZ100" i="2"/>
  <c r="AF100" i="2" l="1"/>
  <c r="AF105" i="2"/>
  <c r="AF104" i="2"/>
  <c r="AF101" i="2"/>
  <c r="AF98" i="2"/>
  <c r="AF102" i="2"/>
  <c r="AF99" i="2"/>
  <c r="AF103" i="2"/>
  <c r="AG98" i="2" l="1"/>
  <c r="AI98" i="2"/>
  <c r="AP98" i="2" s="1"/>
  <c r="J14" i="2" s="1"/>
  <c r="AK25" i="2" s="1"/>
  <c r="AH98" i="2"/>
  <c r="AO98" i="2" s="1"/>
  <c r="J13" i="2" s="1"/>
  <c r="AK24" i="2" s="1"/>
  <c r="AN98" i="2" l="1"/>
  <c r="J12" i="2" s="1"/>
  <c r="AK23" i="2" s="1"/>
  <c r="AF37" i="2" s="1"/>
  <c r="AK98" i="2"/>
  <c r="AM9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tc={57DE813A-079F-45F6-92E6-CE49F63051B2}</author>
    <author>tc={8541F2F8-0740-4494-A65F-824F9028557D}</author>
    <author>tc={A8DDD0D4-59EE-4C7A-BE9E-E0091F15CFD7}</author>
    <author>Parnia Behbahani (CTR)</author>
    <author>tc={6C5E8616-2F4A-4F62-8462-AC5CAFCE02E7}</author>
    <author>tc={62DA503D-1221-4439-B718-0EC96293403C}</author>
    <author>Hua G. Chieu (CTR)</author>
  </authors>
  <commentList>
    <comment ref="B12" authorId="0" shapeId="0" xr:uid="{57DE813A-079F-45F6-92E6-CE49F63051B2}">
      <text>
        <t>[Threaded comment]
Your version of Excel allows you to read this threaded comment; however, any edits to it will get removed if the file is opened in a newer version of Excel. Learn more: https://go.microsoft.com/fwlink/?linkid=870924
Comment:
    Use Power BI link to keep track of SBT3 TS
Reply:
    https://app.powerbi.com/links/HmphV_SRql?ctid=8d05cdc4-bf69-4e6a-b5d3-428050a7f00f&amp;pbi_source=linkShare&amp;bookmarkGuid=8646a84a-93f8-4958-b225-6d1c00498ce5</t>
      </text>
    </comment>
    <comment ref="B13" authorId="1" shapeId="0" xr:uid="{8541F2F8-0740-4494-A65F-824F9028557D}">
      <text>
        <t>[Threaded comment]
Your version of Excel allows you to read this threaded comment; however, any edits to it will get removed if the file is opened in a newer version of Excel. Learn more: https://go.microsoft.com/fwlink/?linkid=870924
Comment:
    During the testing, please use previous fe feed TS for decision making, Please make sure we use the measured valued in the same day to estimate the right polymer dose in lb/ton</t>
      </text>
    </comment>
    <comment ref="B32" authorId="2" shapeId="0" xr:uid="{A8DDD0D4-59EE-4C7A-BE9E-E0091F15CFD7}">
      <text>
        <t>[Threaded comment]
Your version of Excel allows you to read this threaded comment; however, any edits to it will get removed if the file is opened in a newer version of Excel. Learn more: https://go.microsoft.com/fwlink/?linkid=870924
Comment:
    Red highlighted value comes from plant data conversion table</t>
      </text>
    </comment>
    <comment ref="N43" authorId="3" shapeId="0" xr:uid="{D88D6479-9BF5-4733-954D-E73745D3042B}">
      <text>
        <r>
          <rPr>
            <sz val="11"/>
            <color theme="1"/>
            <rFont val="Aptos Narrow"/>
            <family val="2"/>
            <scheme val="minor"/>
          </rPr>
          <t>Parnia Behbahani (CTR):
the color of supernatant for fist sample is dark.</t>
        </r>
      </text>
    </comment>
    <comment ref="D51" authorId="4" shapeId="0" xr:uid="{6C5E8616-2F4A-4F62-8462-AC5CAFCE02E7}">
      <text>
        <t xml:space="preserve">[Threaded comment]
Your version of Excel allows you to read this threaded comment; however, any edits to it will get removed if the file is opened in a newer version of Excel. Learn more: https://go.microsoft.com/fwlink/?linkid=870924
Comment:
    Sample volume will remain same unless need to change due to thickness of filtrate </t>
      </text>
    </comment>
    <comment ref="D62" authorId="5" shapeId="0" xr:uid="{62DA503D-1221-4439-B718-0EC96293403C}">
      <text>
        <t>[Threaded comment]
Your version of Excel allows you to read this threaded comment; however, any edits to it will get removed if the file is opened in a newer version of Excel. Learn more: https://go.microsoft.com/fwlink/?linkid=870924
Comment:
    Sample + Tray weight &gt;= 5g</t>
      </text>
    </comment>
    <comment ref="AE99" authorId="6" shapeId="0" xr:uid="{0EBAC51B-A82D-4E11-B158-449B586FBA1C}">
      <text>
        <r>
          <rPr>
            <sz val="11"/>
            <color theme="1"/>
            <rFont val="Aptos Narrow"/>
            <family val="2"/>
            <scheme val="minor"/>
          </rPr>
          <t xml:space="preserve">Hua G. Chieu (CTR):
Stdev of all Cake TS after OPD point. </t>
        </r>
      </text>
    </comment>
    <comment ref="AE100" authorId="6" shapeId="0" xr:uid="{1F7CFA37-4C5B-41AA-B06C-A6D79E5E3C77}">
      <text>
        <r>
          <rPr>
            <sz val="11"/>
            <color theme="1"/>
            <rFont val="Aptos Narrow"/>
            <family val="2"/>
            <scheme val="minor"/>
          </rPr>
          <t xml:space="preserve">Hua G. Chieu (CTR):
If stdev &lt; 10% error, then optimal cake TS = avg - stdev of the cake TS after OPD point
</t>
        </r>
      </text>
    </comment>
    <comment ref="AE104" authorId="6" shapeId="0" xr:uid="{A4089642-7AE4-4788-8B95-4839BAEBD2FE}">
      <text>
        <r>
          <rPr>
            <sz val="11"/>
            <color theme="1"/>
            <rFont val="Aptos Narrow"/>
            <family val="2"/>
            <scheme val="minor"/>
          </rPr>
          <t xml:space="preserve">Hua G. Chieu (CTR):
% error of stdev
</t>
        </r>
      </text>
    </comment>
  </commentList>
</comments>
</file>

<file path=xl/sharedStrings.xml><?xml version="1.0" encoding="utf-8"?>
<sst xmlns="http://schemas.openxmlformats.org/spreadsheetml/2006/main" count="260" uniqueCount="187">
  <si>
    <t>General guidelines:</t>
  </si>
  <si>
    <t xml:space="preserve"> fill in blue cells</t>
  </si>
  <si>
    <t>other cells are calculated</t>
  </si>
  <si>
    <t>Bench Scale Dewatering test Summary - 03/18/2025</t>
  </si>
  <si>
    <t>Plant Data Conversion</t>
  </si>
  <si>
    <t>Summary Table</t>
  </si>
  <si>
    <t>Shampling time</t>
  </si>
  <si>
    <t>Data QAQC Name</t>
  </si>
  <si>
    <t>Data QAQC (yes/No)</t>
  </si>
  <si>
    <t>Comment</t>
  </si>
  <si>
    <t>Notes: first round, we'll do the QA/AC with first 25 tabs</t>
  </si>
  <si>
    <t>Belt No.</t>
  </si>
  <si>
    <t>B2</t>
  </si>
  <si>
    <t>Poly Loading (lb)</t>
  </si>
  <si>
    <t>Parnia</t>
  </si>
  <si>
    <t xml:space="preserve">from the tab 2_21_2025 to 8_20_2024 </t>
  </si>
  <si>
    <t>Poly Ratio</t>
  </si>
  <si>
    <t>Floc Poly Flow (gpm)</t>
  </si>
  <si>
    <t>unit</t>
  </si>
  <si>
    <t>Plant</t>
  </si>
  <si>
    <t>OPD</t>
  </si>
  <si>
    <t>EPD</t>
  </si>
  <si>
    <t>Hung Chieu</t>
  </si>
  <si>
    <t>Sludge Flow (gpm)</t>
  </si>
  <si>
    <t>Poly Floc Flow (mgd)</t>
  </si>
  <si>
    <t>BFP TS</t>
  </si>
  <si>
    <t>%TS</t>
  </si>
  <si>
    <t>Tu Duong</t>
  </si>
  <si>
    <t>Test Details</t>
  </si>
  <si>
    <t>Target table</t>
  </si>
  <si>
    <t xml:space="preserve">Polymer sol. </t>
  </si>
  <si>
    <t>Sludge Flow(mgd)</t>
  </si>
  <si>
    <t>Polymer ratio setting</t>
  </si>
  <si>
    <t>-</t>
  </si>
  <si>
    <t>Nam Ngo</t>
  </si>
  <si>
    <t>SBT3 TS % LAB_TSPCT_J04</t>
  </si>
  <si>
    <t>Calculated BFP TS (%)</t>
  </si>
  <si>
    <t>Polymer dose</t>
  </si>
  <si>
    <t>lb/tonTS</t>
  </si>
  <si>
    <t>Haydee</t>
  </si>
  <si>
    <t>Filtrate TS</t>
  </si>
  <si>
    <t>BFP TS %</t>
  </si>
  <si>
    <t>BFP Sludge Loading (dtpd)</t>
  </si>
  <si>
    <t>Cake TS</t>
  </si>
  <si>
    <t xml:space="preserve">Sampling time </t>
  </si>
  <si>
    <t>Unit</t>
  </si>
  <si>
    <t>%</t>
  </si>
  <si>
    <t>mg TSS/L</t>
  </si>
  <si>
    <t>DIG SLDG FLOW  FROM SBT (gpm)</t>
  </si>
  <si>
    <t>Plant Polydose (Ib/ton) - method 1</t>
  </si>
  <si>
    <t>Filtrate TSS</t>
  </si>
  <si>
    <t xml:space="preserve">Analyzer </t>
  </si>
  <si>
    <t>3 - 3.9</t>
  </si>
  <si>
    <t xml:space="preserve">&lt; 812 </t>
  </si>
  <si>
    <t>DIL WTR FLOW TO BFP (gpm)</t>
  </si>
  <si>
    <t>Plant Polydose (Ib/ton) - method 2</t>
  </si>
  <si>
    <t xml:space="preserve">Assumptions and Constants: </t>
  </si>
  <si>
    <t>Details</t>
  </si>
  <si>
    <t>batch testing</t>
  </si>
  <si>
    <t>1 g =</t>
  </si>
  <si>
    <t>lb</t>
  </si>
  <si>
    <t>ton</t>
  </si>
  <si>
    <t>Cup Diameter</t>
  </si>
  <si>
    <t>inches</t>
  </si>
  <si>
    <t xml:space="preserve">Cup Area: </t>
  </si>
  <si>
    <r>
      <t>m</t>
    </r>
    <r>
      <rPr>
        <vertAlign val="superscript"/>
        <sz val="12"/>
        <color theme="1"/>
        <rFont val="Aptos Narrow"/>
        <family val="2"/>
        <scheme val="minor"/>
      </rPr>
      <t>2</t>
    </r>
  </si>
  <si>
    <t>vol/vol</t>
  </si>
  <si>
    <r>
      <t>Aiming for 0.80 kg of DS per m</t>
    </r>
    <r>
      <rPr>
        <vertAlign val="superscript"/>
        <sz val="12"/>
        <color theme="1"/>
        <rFont val="Aptos Narrow"/>
        <family val="2"/>
        <scheme val="minor"/>
      </rPr>
      <t>2</t>
    </r>
    <r>
      <rPr>
        <sz val="12"/>
        <color theme="1"/>
        <rFont val="Aptos Narrow"/>
        <family val="2"/>
        <scheme val="minor"/>
      </rPr>
      <t xml:space="preserve"> of cup area</t>
    </r>
  </si>
  <si>
    <t>Cup Loading</t>
  </si>
  <si>
    <t>grams of DS</t>
  </si>
  <si>
    <t>Assuming</t>
  </si>
  <si>
    <t>TS in sludge</t>
  </si>
  <si>
    <t>Assuming 100% Capture in free drainage</t>
  </si>
  <si>
    <t>Polymer Solution</t>
  </si>
  <si>
    <t>Plains Target DS</t>
  </si>
  <si>
    <t>4 to 7</t>
  </si>
  <si>
    <t>kg DS/m</t>
  </si>
  <si>
    <t>Remarks:</t>
  </si>
  <si>
    <t>- Based on the initial a little bit overdosing condition (PD = ~23.86lb/ton)</t>
  </si>
  <si>
    <t>need to decrease the polymer ratio</t>
  </si>
  <si>
    <t>Calculation</t>
  </si>
  <si>
    <t>- Based on the graph, the OPD =19.32 &lt; PD</t>
  </si>
  <si>
    <t>Sample #</t>
  </si>
  <si>
    <t>Polymer Dose
 (lb polymer/
ton sludge)</t>
  </si>
  <si>
    <t>Actual Belt Filter Press before PD TS (%)</t>
  </si>
  <si>
    <t>Sludge Weight
 (g)</t>
  </si>
  <si>
    <t>Calculation Polymer Added(g)</t>
  </si>
  <si>
    <t>Polymer Before (g)</t>
  </si>
  <si>
    <t>Poymer after
(g)</t>
  </si>
  <si>
    <t>Actual Polymer Added (g)</t>
  </si>
  <si>
    <t>Actual Polymer Added (lb/ton)</t>
  </si>
  <si>
    <t>Sieve 
Weight (g)</t>
  </si>
  <si>
    <t>Bucket Weight (g)</t>
  </si>
  <si>
    <t>Sieve + Wet Solids Weight (g)</t>
  </si>
  <si>
    <t>Bucket + Filtrate (g)</t>
  </si>
  <si>
    <t>Capture Efficiency (%)</t>
  </si>
  <si>
    <t>Filtered Solids (g)</t>
  </si>
  <si>
    <t>Filtrate (g)</t>
  </si>
  <si>
    <t>Estimated TS% of Wet Solids on frabic</t>
  </si>
  <si>
    <t>Target WS in Cup (g)</t>
  </si>
  <si>
    <t>Conclusion: Experiment results are consistent with expectations.</t>
  </si>
  <si>
    <t>confirming that reducing polymer improves efficiency.</t>
  </si>
  <si>
    <t>- EPD &lt; OPD &lt; PD</t>
  </si>
  <si>
    <t>- We can achieve cost savings by operating at EPD instead of PD.</t>
  </si>
  <si>
    <t>lb/tons</t>
  </si>
  <si>
    <t>CST  Sludge (Avrg)</t>
  </si>
  <si>
    <t>CST  Supernatant (Avrg)</t>
  </si>
  <si>
    <t xml:space="preserve">CST  Sludge </t>
  </si>
  <si>
    <t>CST Supernatant</t>
  </si>
  <si>
    <t>TSS - VSS</t>
  </si>
  <si>
    <t>Sample ID/#</t>
  </si>
  <si>
    <t>Foil Tray+Filter Weight (g ) #1</t>
  </si>
  <si>
    <t>Foil Tray+Filter Weight (g ) #2</t>
  </si>
  <si>
    <t>Sample Volume (ml) #1</t>
  </si>
  <si>
    <t>Sample Volume (ml) #2</t>
  </si>
  <si>
    <t>After 103 °C #1</t>
  </si>
  <si>
    <t>After 103 °C #2</t>
  </si>
  <si>
    <t>Dilution Factor</t>
  </si>
  <si>
    <t>TSS-1</t>
  </si>
  <si>
    <t>TSS-2</t>
  </si>
  <si>
    <t>TSS (g TSS/L)</t>
  </si>
  <si>
    <t>After 550 °C #1</t>
  </si>
  <si>
    <t>After 550 °C #2</t>
  </si>
  <si>
    <t>VSS-1 (%)</t>
  </si>
  <si>
    <t>VSS-2 (%)</t>
  </si>
  <si>
    <t>VSS (%)</t>
  </si>
  <si>
    <t>Plant Filterate</t>
  </si>
  <si>
    <t>TS - VS</t>
  </si>
  <si>
    <t>Foil Tray  (g) #1</t>
  </si>
  <si>
    <t>Foil Tray (g) #2</t>
  </si>
  <si>
    <t>Tray +Sample (g) #1</t>
  </si>
  <si>
    <t>Tray + Sample (g) #2</t>
  </si>
  <si>
    <t>TS-1 (%)</t>
  </si>
  <si>
    <t>TS-2 (%)</t>
  </si>
  <si>
    <t>TS (%)</t>
  </si>
  <si>
    <t>VS-1 (%)</t>
  </si>
  <si>
    <t>VS-2 (%)</t>
  </si>
  <si>
    <t>VS (%)</t>
  </si>
  <si>
    <t>Plant Cake</t>
  </si>
  <si>
    <t>Sludge</t>
  </si>
  <si>
    <t>Additional experiement</t>
  </si>
  <si>
    <t>Foil Tray  (g) #3</t>
  </si>
  <si>
    <t>Tray +Sample (g) #3</t>
  </si>
  <si>
    <t>After 103 °C #3</t>
  </si>
  <si>
    <t>=</t>
  </si>
  <si>
    <t xml:space="preserve"> </t>
  </si>
  <si>
    <t>CST Supernatant (second)</t>
  </si>
  <si>
    <t>CST Sludge
(second)</t>
  </si>
  <si>
    <t>Lab Cake TS
(%)</t>
  </si>
  <si>
    <t>Lab Filtrate TSS
(mg TSS/L)</t>
  </si>
  <si>
    <t>Ave</t>
  </si>
  <si>
    <t>Diff</t>
  </si>
  <si>
    <t>Tolerance
(%)</t>
  </si>
  <si>
    <t>1 or 2</t>
  </si>
  <si>
    <t>OPD
(lb/ton)</t>
  </si>
  <si>
    <t>OPD Cake TS
(%)</t>
  </si>
  <si>
    <t>OPD Filtrate TSS
(mg TSS/L)</t>
  </si>
  <si>
    <t>Manual check</t>
  </si>
  <si>
    <t>Note:
Based on Supernatant</t>
  </si>
  <si>
    <t>Cake optimal</t>
  </si>
  <si>
    <t>cake optimal (TS)</t>
  </si>
  <si>
    <t>optimal cake</t>
  </si>
  <si>
    <t>EPD Indication Point (3)</t>
  </si>
  <si>
    <t>EOPD Checked with Cake TS
(lb/ton)</t>
  </si>
  <si>
    <t>EOPD Cake TS
(%)</t>
  </si>
  <si>
    <t>EOPD Filtrate TSS
(mg TSS/L)</t>
  </si>
  <si>
    <t>Target
 Fiftrate TSS
(mg TSS/L)</t>
  </si>
  <si>
    <t>EOPD checked with Filtrate TSS 
(lb/ton)</t>
  </si>
  <si>
    <t>Check filtrate condition</t>
  </si>
  <si>
    <t xml:space="preserve">1 or 2
</t>
  </si>
  <si>
    <t>EPD Manual Checked with Cake TS
(lb/ton)</t>
  </si>
  <si>
    <t>EPD Manual Cake TS
(%)</t>
  </si>
  <si>
    <t>EPD Manual Filtrate TSS
(mg TSS/L)</t>
  </si>
  <si>
    <t>Manual check (yes/No)</t>
  </si>
  <si>
    <t>Note</t>
  </si>
  <si>
    <t>Grab Plant PD
(lb/Ton)</t>
  </si>
  <si>
    <t>Plant Cake TS
(%)</t>
  </si>
  <si>
    <t>Plant Filtrate
(mg TSS/L)</t>
  </si>
  <si>
    <t>Lab DW Feed TS (%)</t>
  </si>
  <si>
    <t>OPD Manual checked</t>
  </si>
  <si>
    <t>EPD Manual checked</t>
  </si>
  <si>
    <t>EPD determination</t>
  </si>
  <si>
    <t>Haydee's calculations</t>
  </si>
  <si>
    <t>is EPD cake TS &lt; than OPD cake TS or higher?</t>
  </si>
  <si>
    <t>`</t>
  </si>
  <si>
    <t>error%</t>
  </si>
  <si>
    <t>(&lt;10% to have valid data for EPD determination)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</si>
</sst>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h:mm;@"/>
    <numFmt numFmtId="166" formatCode="0.000"/>
    <numFmt numFmtId="167" formatCode="0.0000"/>
    <numFmt numFmtId="168" formatCode="#,##0.0000"/>
  </numFmts>
  <fonts count="34" x14ac:knownFonts="1">
    <font>
      <sz val="11"/>
      <color theme="1"/>
      <name val="Aptos Narrow"/>
      <family val="2"/>
      <scheme val="minor"/>
    </font>
    <font>
      <sz val="12"/>
      <color theme="1"/>
      <name val="Aptos Narrow"/>
      <family val="2"/>
      <scheme val="minor"/>
    </font>
    <font>
      <i/>
      <sz val="12"/>
      <color theme="1"/>
      <name val="Aptos Narrow"/>
      <family val="2"/>
      <scheme val="minor"/>
    </font>
    <font>
      <b/>
      <sz val="26"/>
      <color theme="1"/>
      <name val="Aptos Narrow"/>
      <family val="2"/>
      <scheme val="minor"/>
    </font>
    <font>
      <b/>
      <sz val="12"/>
      <color theme="0"/>
      <name val="Aptos Narrow"/>
      <family val="2"/>
      <scheme val="minor"/>
    </font>
    <font>
      <sz val="12"/>
      <color theme="4"/>
      <name val="Aptos Narrow"/>
      <family val="2"/>
      <scheme val="minor"/>
    </font>
    <font>
      <sz val="12"/>
      <name val="Calibri"/>
      <family val="2"/>
    </font>
    <font>
      <sz val="11"/>
      <color rgb="FF000000"/>
      <name val="Aptos Narrow"/>
      <family val="2"/>
    </font>
    <font>
      <b/>
      <sz val="12"/>
      <color theme="1"/>
      <name val="Aptos Narrow"/>
      <family val="2"/>
      <scheme val="minor"/>
    </font>
    <font>
      <b/>
      <sz val="11"/>
      <color rgb="FF000000"/>
      <name val="Aptos Narrow"/>
      <family val="2"/>
    </font>
    <font>
      <b/>
      <sz val="20"/>
      <color theme="0"/>
      <name val="Aptos Narrow"/>
      <family val="2"/>
      <scheme val="minor"/>
    </font>
    <font>
      <sz val="12"/>
      <name val="Aptos Narrow"/>
      <family val="2"/>
      <scheme val="minor"/>
    </font>
    <font>
      <b/>
      <sz val="14"/>
      <color theme="0"/>
      <name val="Aptos Narrow"/>
      <family val="2"/>
      <scheme val="minor"/>
    </font>
    <font>
      <sz val="12"/>
      <color rgb="FFFF0000"/>
      <name val="Aptos Narrow"/>
      <family val="2"/>
      <scheme val="minor"/>
    </font>
    <font>
      <b/>
      <sz val="14"/>
      <color theme="1"/>
      <name val="Aptos Narrow"/>
      <family val="2"/>
      <scheme val="minor"/>
    </font>
    <font>
      <sz val="14"/>
      <color theme="1"/>
      <name val="Aptos Narrow"/>
      <family val="2"/>
      <scheme val="minor"/>
    </font>
    <font>
      <b/>
      <sz val="18"/>
      <color theme="1"/>
      <name val="Aptos Narrow"/>
      <family val="2"/>
      <scheme val="minor"/>
    </font>
    <font>
      <sz val="14"/>
      <color rgb="FF000000"/>
      <name val="Aptos Narrow"/>
      <family val="2"/>
    </font>
    <font>
      <b/>
      <sz val="14"/>
      <color rgb="FF000000"/>
      <name val="Aptos Narrow"/>
      <family val="2"/>
    </font>
    <font>
      <vertAlign val="superscript"/>
      <sz val="12"/>
      <color theme="1"/>
      <name val="Aptos Narrow"/>
      <family val="2"/>
      <scheme val="minor"/>
    </font>
    <font>
      <sz val="12"/>
      <color rgb="FF000000"/>
      <name val="Aptos Narrow"/>
      <family val="2"/>
    </font>
    <font>
      <sz val="11"/>
      <color rgb="FF242424"/>
      <name val="Aptos Narrow"/>
      <family val="2"/>
    </font>
    <font>
      <sz val="12"/>
      <color rgb="FF000000"/>
      <name val="Aptos Narrow"/>
      <family val="2"/>
      <scheme val="minor"/>
    </font>
    <font>
      <sz val="12"/>
      <name val="Times New Roman"/>
      <family val="1"/>
    </font>
    <font>
      <sz val="12"/>
      <color rgb="FF242424"/>
      <name val="Aptos Narrow"/>
      <family val="2"/>
    </font>
    <font>
      <b/>
      <sz val="12"/>
      <color rgb="FF000000"/>
      <name val="Aptos Narrow"/>
      <family val="2"/>
      <scheme val="minor"/>
    </font>
    <font>
      <b/>
      <sz val="12"/>
      <color rgb="FFFF0000"/>
      <name val="Aptos Narrow"/>
      <family val="2"/>
      <scheme val="minor"/>
    </font>
    <font>
      <b/>
      <sz val="12"/>
      <color theme="1"/>
      <name val="Times New Roman"/>
      <family val="1"/>
    </font>
    <font>
      <b/>
      <sz val="12"/>
      <color theme="5" tint="-0.249977111117893"/>
      <name val="Aptos Narrow"/>
      <family val="2"/>
      <scheme val="minor"/>
    </font>
    <font>
      <b/>
      <sz val="12"/>
      <color rgb="FF000000"/>
      <name val="Aptos Narrow"/>
      <family val="2"/>
    </font>
    <font>
      <b/>
      <sz val="12"/>
      <color rgb="FF242424"/>
      <name val="Aptos Narrow"/>
      <family val="2"/>
    </font>
    <font>
      <sz val="12"/>
      <color rgb="FFFF0000"/>
      <name val="Aptos Narrow"/>
      <family val="2"/>
    </font>
    <font>
      <sz val="12"/>
      <color rgb="FF4EA72E"/>
      <name val="Aptos Narrow"/>
      <family val="2"/>
    </font>
    <font>
      <sz val="9"/>
      <color indexed="81"/>
      <name val="Tahoma"/>
      <charset val="1"/>
    </font>
  </fonts>
  <fills count="25">
    <fill>
      <patternFill patternType="none"/>
    </fill>
    <fill>
      <patternFill patternType="gray125"/>
    </fill>
    <fill>
      <patternFill patternType="solid">
        <fgColor theme="9"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bgColor indexed="64"/>
      </patternFill>
    </fill>
    <fill>
      <patternFill patternType="solid">
        <fgColor rgb="FF83CCEB"/>
        <bgColor rgb="FF000000"/>
      </patternFill>
    </fill>
    <fill>
      <patternFill patternType="solid">
        <fgColor theme="0"/>
        <bgColor indexed="64"/>
      </patternFill>
    </fill>
    <fill>
      <patternFill patternType="solid">
        <fgColor rgb="FFFFFFFF"/>
        <bgColor rgb="FF000000"/>
      </patternFill>
    </fill>
    <fill>
      <patternFill patternType="solid">
        <fgColor theme="7" tint="0.39997558519241921"/>
        <bgColor rgb="FF000000"/>
      </patternFill>
    </fill>
    <fill>
      <patternFill patternType="solid">
        <fgColor theme="4" tint="0.59999389629810485"/>
        <bgColor rgb="FF000000"/>
      </patternFill>
    </fill>
    <fill>
      <patternFill patternType="solid">
        <fgColor theme="5" tint="0.59999389629810485"/>
        <bgColor indexed="64"/>
      </patternFill>
    </fill>
    <fill>
      <patternFill patternType="solid">
        <fgColor rgb="FFEC79FF"/>
        <bgColor indexed="64"/>
      </patternFill>
    </fill>
    <fill>
      <patternFill patternType="solid">
        <fgColor rgb="FFFDEADA"/>
        <bgColor rgb="FFFDEADA"/>
      </patternFill>
    </fill>
    <fill>
      <patternFill patternType="solid">
        <fgColor theme="9" tint="0.39997558519241921"/>
        <bgColor rgb="FFFDEADA"/>
      </patternFill>
    </fill>
    <fill>
      <patternFill patternType="solid">
        <fgColor theme="7" tint="0.59999389629810485"/>
        <bgColor indexed="64"/>
      </patternFill>
    </fill>
    <fill>
      <patternFill patternType="solid">
        <fgColor rgb="FF94DCF8"/>
        <bgColor rgb="FF000000"/>
      </patternFill>
    </fill>
    <fill>
      <patternFill patternType="solid">
        <fgColor rgb="FF31FFFA"/>
        <bgColor rgb="FF00B0F0"/>
      </patternFill>
    </fill>
    <fill>
      <patternFill patternType="solid">
        <fgColor rgb="FFFF9831"/>
        <bgColor rgb="FF00B0F0"/>
      </patternFill>
    </fill>
    <fill>
      <patternFill patternType="solid">
        <fgColor rgb="FFFFC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D0D0D0"/>
        <bgColor rgb="FF000000"/>
      </patternFill>
    </fill>
    <fill>
      <patternFill patternType="solid">
        <fgColor theme="2" tint="-0.249977111117893"/>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indexed="64"/>
      </left>
      <right/>
      <top style="thin">
        <color indexed="64"/>
      </top>
      <bottom/>
      <diagonal/>
    </border>
    <border>
      <left style="medium">
        <color auto="1"/>
      </left>
      <right/>
      <top style="medium">
        <color auto="1"/>
      </top>
      <bottom style="medium">
        <color auto="1"/>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thin">
        <color auto="1"/>
      </right>
      <top style="medium">
        <color auto="1"/>
      </top>
      <bottom style="medium">
        <color auto="1"/>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diagonal/>
    </border>
    <border>
      <left/>
      <right/>
      <top style="medium">
        <color auto="1"/>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86">
    <xf numFmtId="0" fontId="0" fillId="0" borderId="0" xfId="0"/>
    <xf numFmtId="0" fontId="1" fillId="2" borderId="1" xfId="0" applyFont="1" applyFill="1" applyBorder="1"/>
    <xf numFmtId="0" fontId="1" fillId="2" borderId="0" xfId="0" applyFont="1" applyFill="1"/>
    <xf numFmtId="0" fontId="1" fillId="2" borderId="2" xfId="0" applyFont="1" applyFill="1" applyBorder="1"/>
    <xf numFmtId="0" fontId="1" fillId="3" borderId="0" xfId="0" applyFont="1" applyFill="1"/>
    <xf numFmtId="0" fontId="1" fillId="2" borderId="3" xfId="0" applyFont="1" applyFill="1" applyBorder="1"/>
    <xf numFmtId="0" fontId="2" fillId="2" borderId="0" xfId="0" applyFont="1" applyFill="1"/>
    <xf numFmtId="0" fontId="3" fillId="4" borderId="4" xfId="0" applyFont="1" applyFill="1" applyBorder="1" applyAlignment="1">
      <alignment horizontal="center" vertical="center"/>
    </xf>
    <xf numFmtId="0" fontId="4" fillId="5" borderId="5" xfId="0" applyFont="1" applyFill="1" applyBorder="1" applyAlignment="1">
      <alignment horizontal="center"/>
    </xf>
    <xf numFmtId="0" fontId="4" fillId="5" borderId="6" xfId="0" applyFont="1" applyFill="1" applyBorder="1"/>
    <xf numFmtId="0" fontId="4" fillId="5" borderId="7" xfId="0" applyFont="1" applyFill="1" applyBorder="1"/>
    <xf numFmtId="0" fontId="4" fillId="5" borderId="0" xfId="0" applyFont="1" applyFill="1"/>
    <xf numFmtId="0" fontId="5" fillId="0" borderId="8" xfId="0" applyFont="1" applyBorder="1" applyAlignment="1">
      <alignment horizontal="center" vertical="center" wrapText="1"/>
    </xf>
    <xf numFmtId="19" fontId="6" fillId="6" borderId="9" xfId="0" applyNumberFormat="1" applyFont="1" applyFill="1" applyBorder="1" applyAlignment="1">
      <alignment horizontal="center"/>
    </xf>
    <xf numFmtId="0" fontId="1" fillId="0" borderId="10" xfId="0" applyFont="1" applyBorder="1" applyAlignment="1">
      <alignment horizontal="center" vertical="center" wrapText="1"/>
    </xf>
    <xf numFmtId="164" fontId="1" fillId="7" borderId="11" xfId="0" applyNumberFormat="1" applyFont="1" applyFill="1" applyBorder="1" applyAlignment="1">
      <alignment horizontal="center"/>
    </xf>
    <xf numFmtId="0" fontId="7" fillId="0" borderId="12" xfId="0" applyFont="1" applyBorder="1" applyAlignment="1">
      <alignment vertical="center"/>
    </xf>
    <xf numFmtId="0" fontId="7" fillId="0" borderId="13" xfId="0" applyFont="1" applyBorder="1" applyAlignment="1">
      <alignment vertical="center"/>
    </xf>
    <xf numFmtId="0" fontId="7" fillId="0" borderId="5" xfId="0" applyFont="1" applyBorder="1" applyAlignment="1">
      <alignment horizontal="center" vertical="center"/>
    </xf>
    <xf numFmtId="0" fontId="7" fillId="0" borderId="14" xfId="0" applyFont="1" applyBorder="1" applyAlignment="1">
      <alignment horizontal="center" vertical="center"/>
    </xf>
    <xf numFmtId="0" fontId="8" fillId="7" borderId="15" xfId="0" applyFont="1" applyFill="1" applyBorder="1"/>
    <xf numFmtId="0" fontId="1" fillId="0" borderId="3" xfId="0" applyFont="1" applyBorder="1" applyAlignment="1">
      <alignment horizontal="center"/>
    </xf>
    <xf numFmtId="0" fontId="6" fillId="6" borderId="9" xfId="0" applyFont="1" applyFill="1" applyBorder="1" applyAlignment="1">
      <alignment horizontal="center"/>
    </xf>
    <xf numFmtId="0" fontId="7" fillId="0" borderId="16" xfId="0" applyFont="1" applyBorder="1" applyAlignment="1">
      <alignment horizontal="center" vertical="center"/>
    </xf>
    <xf numFmtId="165" fontId="7" fillId="0" borderId="16" xfId="0" applyNumberFormat="1" applyFont="1" applyBorder="1" applyAlignment="1">
      <alignment horizontal="center" vertical="center"/>
    </xf>
    <xf numFmtId="0" fontId="7" fillId="0" borderId="6" xfId="0" applyFont="1" applyBorder="1" applyAlignment="1">
      <alignment horizontal="center" vertical="center"/>
    </xf>
    <xf numFmtId="0" fontId="1" fillId="7" borderId="15" xfId="0" applyFont="1" applyFill="1" applyBorder="1"/>
    <xf numFmtId="0" fontId="1" fillId="7" borderId="0" xfId="0" applyFont="1" applyFill="1"/>
    <xf numFmtId="0" fontId="1" fillId="0" borderId="15" xfId="0" applyFont="1" applyBorder="1" applyAlignment="1">
      <alignment horizontal="center" vertical="center" wrapText="1"/>
    </xf>
    <xf numFmtId="2" fontId="1" fillId="7" borderId="17" xfId="0" applyNumberFormat="1" applyFont="1" applyFill="1" applyBorder="1" applyAlignment="1">
      <alignment horizontal="center"/>
    </xf>
    <xf numFmtId="0" fontId="9" fillId="0" borderId="16" xfId="0" applyFont="1" applyBorder="1" applyAlignment="1">
      <alignment horizontal="center" vertical="center"/>
    </xf>
    <xf numFmtId="0" fontId="9" fillId="0" borderId="7" xfId="0" applyFont="1" applyBorder="1" applyAlignment="1">
      <alignment horizontal="center" vertical="center"/>
    </xf>
    <xf numFmtId="0" fontId="6" fillId="6" borderId="18" xfId="0" applyFont="1" applyFill="1" applyBorder="1" applyAlignment="1">
      <alignment horizontal="center"/>
    </xf>
    <xf numFmtId="0" fontId="7" fillId="0" borderId="19" xfId="0" applyFont="1" applyBorder="1" applyAlignment="1">
      <alignment horizontal="center" vertical="center"/>
    </xf>
    <xf numFmtId="2" fontId="7" fillId="0" borderId="19" xfId="0" applyNumberFormat="1" applyFont="1" applyBorder="1" applyAlignment="1">
      <alignment horizontal="center" vertical="center"/>
    </xf>
    <xf numFmtId="2" fontId="7" fillId="0" borderId="7" xfId="0" applyNumberFormat="1" applyFont="1" applyBorder="1" applyAlignment="1">
      <alignment horizontal="center" vertical="center"/>
    </xf>
    <xf numFmtId="0" fontId="10" fillId="5" borderId="1" xfId="0" applyFont="1" applyFill="1" applyBorder="1" applyAlignment="1">
      <alignment horizontal="center" vertical="center"/>
    </xf>
    <xf numFmtId="0" fontId="6" fillId="8" borderId="15" xfId="0" applyFont="1" applyFill="1" applyBorder="1" applyAlignment="1">
      <alignment horizontal="center"/>
    </xf>
    <xf numFmtId="166" fontId="7" fillId="0" borderId="19" xfId="0" applyNumberFormat="1" applyFont="1" applyBorder="1" applyAlignment="1">
      <alignment horizontal="center" vertical="center"/>
    </xf>
    <xf numFmtId="166" fontId="7" fillId="0" borderId="7" xfId="0" applyNumberFormat="1" applyFont="1" applyBorder="1" applyAlignment="1">
      <alignment horizontal="center" vertical="center"/>
    </xf>
    <xf numFmtId="0" fontId="11" fillId="9" borderId="15" xfId="0" applyFont="1" applyFill="1" applyBorder="1" applyAlignment="1">
      <alignment horizontal="center"/>
    </xf>
    <xf numFmtId="167" fontId="1" fillId="7" borderId="17" xfId="0" applyNumberFormat="1" applyFont="1" applyFill="1" applyBorder="1" applyAlignment="1">
      <alignment horizontal="center"/>
    </xf>
    <xf numFmtId="164" fontId="7" fillId="0" borderId="19" xfId="0" applyNumberFormat="1" applyFont="1" applyBorder="1" applyAlignment="1">
      <alignment horizontal="center" vertical="center"/>
    </xf>
    <xf numFmtId="164" fontId="7" fillId="0" borderId="7" xfId="0" applyNumberFormat="1" applyFont="1" applyBorder="1" applyAlignment="1">
      <alignment horizontal="center" vertical="center"/>
    </xf>
    <xf numFmtId="0" fontId="12" fillId="5" borderId="3" xfId="0" applyFont="1" applyFill="1" applyBorder="1" applyAlignment="1">
      <alignment horizontal="center"/>
    </xf>
    <xf numFmtId="0" fontId="12" fillId="5" borderId="0" xfId="0" applyFont="1" applyFill="1" applyAlignment="1">
      <alignment horizontal="center"/>
    </xf>
    <xf numFmtId="0" fontId="12" fillId="5" borderId="20" xfId="0" applyFont="1" applyFill="1" applyBorder="1" applyAlignment="1">
      <alignment horizontal="center"/>
    </xf>
    <xf numFmtId="0" fontId="12" fillId="5" borderId="21" xfId="0" applyFont="1" applyFill="1" applyBorder="1" applyAlignment="1">
      <alignment horizontal="center"/>
    </xf>
    <xf numFmtId="0" fontId="12" fillId="5" borderId="22" xfId="0" applyFont="1" applyFill="1" applyBorder="1" applyAlignment="1">
      <alignment horizontal="center"/>
    </xf>
    <xf numFmtId="0" fontId="12" fillId="5" borderId="23" xfId="0" applyFont="1" applyFill="1" applyBorder="1" applyAlignment="1">
      <alignment horizontal="center"/>
    </xf>
    <xf numFmtId="2" fontId="13" fillId="10" borderId="15" xfId="0" applyNumberFormat="1" applyFont="1" applyFill="1" applyBorder="1" applyAlignment="1">
      <alignment horizontal="center"/>
    </xf>
    <xf numFmtId="0" fontId="14" fillId="7" borderId="24" xfId="0" applyFont="1" applyFill="1" applyBorder="1" applyAlignment="1">
      <alignment horizontal="center"/>
    </xf>
    <xf numFmtId="18" fontId="15" fillId="7" borderId="25" xfId="0" applyNumberFormat="1" applyFont="1" applyFill="1" applyBorder="1" applyAlignment="1">
      <alignment horizontal="center"/>
    </xf>
    <xf numFmtId="0" fontId="14" fillId="7" borderId="26" xfId="0" applyFont="1" applyFill="1" applyBorder="1" applyAlignment="1">
      <alignment horizontal="center"/>
    </xf>
    <xf numFmtId="0" fontId="14" fillId="7" borderId="10" xfId="0" applyFont="1" applyFill="1" applyBorder="1" applyAlignment="1">
      <alignment horizontal="center"/>
    </xf>
    <xf numFmtId="0" fontId="14" fillId="7" borderId="11" xfId="0" applyFont="1" applyFill="1" applyBorder="1" applyAlignment="1">
      <alignment horizontal="center"/>
    </xf>
    <xf numFmtId="0" fontId="11" fillId="6" borderId="15" xfId="0" applyFont="1" applyFill="1" applyBorder="1" applyAlignment="1">
      <alignment horizontal="center"/>
    </xf>
    <xf numFmtId="0" fontId="15" fillId="7" borderId="0" xfId="0" applyFont="1" applyFill="1"/>
    <xf numFmtId="0" fontId="14" fillId="7" borderId="27" xfId="0" applyFont="1" applyFill="1" applyBorder="1" applyAlignment="1">
      <alignment horizontal="center"/>
    </xf>
    <xf numFmtId="0" fontId="15" fillId="7" borderId="28" xfId="0" applyFont="1" applyFill="1" applyBorder="1" applyAlignment="1">
      <alignment horizontal="center"/>
    </xf>
    <xf numFmtId="0" fontId="15" fillId="7" borderId="21" xfId="0" applyFont="1" applyFill="1" applyBorder="1" applyAlignment="1">
      <alignment horizontal="center"/>
    </xf>
    <xf numFmtId="0" fontId="15" fillId="7" borderId="22" xfId="0" applyFont="1" applyFill="1" applyBorder="1" applyAlignment="1">
      <alignment horizontal="center"/>
    </xf>
    <xf numFmtId="0" fontId="15" fillId="7" borderId="23" xfId="0" applyFont="1" applyFill="1" applyBorder="1" applyAlignment="1">
      <alignment horizontal="center"/>
    </xf>
    <xf numFmtId="0" fontId="5" fillId="0" borderId="21" xfId="0" applyFont="1" applyBorder="1" applyAlignment="1">
      <alignment horizontal="center" vertical="center" wrapText="1"/>
    </xf>
    <xf numFmtId="0" fontId="11" fillId="6" borderId="22" xfId="0" applyFont="1" applyFill="1" applyBorder="1" applyAlignment="1">
      <alignment horizontal="center"/>
    </xf>
    <xf numFmtId="0" fontId="1" fillId="0" borderId="22" xfId="0" applyFont="1" applyBorder="1" applyAlignment="1">
      <alignment horizontal="center" vertical="center" wrapText="1"/>
    </xf>
    <xf numFmtId="2" fontId="16" fillId="7" borderId="23" xfId="0" applyNumberFormat="1" applyFont="1" applyFill="1" applyBorder="1" applyAlignment="1">
      <alignment horizontal="center"/>
    </xf>
    <xf numFmtId="0" fontId="1" fillId="2" borderId="0" xfId="0" applyFont="1" applyFill="1" applyAlignment="1">
      <alignment horizontal="center"/>
    </xf>
    <xf numFmtId="0" fontId="10" fillId="5" borderId="0" xfId="0" applyFont="1" applyFill="1" applyAlignment="1">
      <alignment horizontal="center" vertical="center"/>
    </xf>
    <xf numFmtId="0" fontId="8" fillId="0" borderId="29"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1" xfId="0" applyFont="1" applyBorder="1" applyAlignment="1">
      <alignment horizontal="center" vertical="center" wrapText="1"/>
    </xf>
    <xf numFmtId="0" fontId="1" fillId="7" borderId="1" xfId="0" applyFont="1" applyFill="1" applyBorder="1" applyAlignment="1">
      <alignment horizontal="center" vertical="center"/>
    </xf>
    <xf numFmtId="0" fontId="17" fillId="7" borderId="30" xfId="0" applyFont="1" applyFill="1" applyBorder="1" applyAlignment="1">
      <alignment vertical="center"/>
    </xf>
    <xf numFmtId="0" fontId="17" fillId="7" borderId="31" xfId="0" applyFont="1" applyFill="1" applyBorder="1" applyAlignment="1">
      <alignment vertical="center"/>
    </xf>
    <xf numFmtId="0" fontId="17" fillId="7" borderId="31" xfId="0" applyFont="1" applyFill="1" applyBorder="1" applyAlignment="1">
      <alignment horizontal="center" vertical="center"/>
    </xf>
    <xf numFmtId="0" fontId="17" fillId="7" borderId="32" xfId="0" applyFont="1" applyFill="1" applyBorder="1" applyAlignment="1">
      <alignment horizontal="center" vertical="center"/>
    </xf>
    <xf numFmtId="0" fontId="1" fillId="0" borderId="8"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8" fillId="7" borderId="18" xfId="0" applyFont="1" applyFill="1" applyBorder="1" applyAlignment="1">
      <alignment horizontal="center" vertical="center"/>
    </xf>
    <xf numFmtId="0" fontId="18" fillId="7" borderId="15" xfId="0" applyFont="1" applyFill="1" applyBorder="1" applyAlignment="1">
      <alignment horizontal="center" vertical="center"/>
    </xf>
    <xf numFmtId="0" fontId="18" fillId="7" borderId="17" xfId="0" applyFont="1" applyFill="1" applyBorder="1" applyAlignment="1">
      <alignment horizontal="center" vertical="center"/>
    </xf>
    <xf numFmtId="0" fontId="17" fillId="7" borderId="33" xfId="0" applyFont="1" applyFill="1" applyBorder="1" applyAlignment="1">
      <alignment horizontal="center" vertical="center"/>
    </xf>
    <xf numFmtId="0" fontId="17" fillId="7" borderId="15" xfId="0" applyFont="1" applyFill="1" applyBorder="1" applyAlignment="1">
      <alignment horizontal="center" vertical="center"/>
    </xf>
    <xf numFmtId="2" fontId="18" fillId="0" borderId="15" xfId="0" applyNumberFormat="1" applyFont="1" applyBorder="1" applyAlignment="1">
      <alignment horizontal="center" vertical="center"/>
    </xf>
    <xf numFmtId="2" fontId="17" fillId="0" borderId="15" xfId="0" applyNumberFormat="1" applyFont="1" applyBorder="1" applyAlignment="1">
      <alignment horizontal="center" vertical="center"/>
    </xf>
    <xf numFmtId="2" fontId="17" fillId="0" borderId="17" xfId="0" applyNumberFormat="1" applyFont="1" applyBorder="1" applyAlignment="1">
      <alignment horizontal="center" vertical="center"/>
    </xf>
    <xf numFmtId="11" fontId="1" fillId="0" borderId="15" xfId="0" applyNumberFormat="1" applyFont="1" applyBorder="1" applyAlignment="1">
      <alignment horizontal="center" vertical="center"/>
    </xf>
    <xf numFmtId="166" fontId="17" fillId="0" borderId="15" xfId="0" applyNumberFormat="1" applyFont="1" applyBorder="1" applyAlignment="1">
      <alignment horizontal="center" vertical="center"/>
    </xf>
    <xf numFmtId="166" fontId="17" fillId="0" borderId="17" xfId="0" applyNumberFormat="1" applyFont="1" applyBorder="1" applyAlignment="1">
      <alignment horizontal="center" vertical="center"/>
    </xf>
    <xf numFmtId="0" fontId="1" fillId="0" borderId="8" xfId="0" applyFont="1" applyBorder="1" applyAlignment="1">
      <alignment horizontal="center" vertical="center"/>
    </xf>
    <xf numFmtId="2" fontId="15" fillId="0" borderId="15" xfId="0" applyNumberFormat="1" applyFont="1" applyBorder="1" applyAlignment="1">
      <alignment horizontal="center"/>
    </xf>
    <xf numFmtId="2" fontId="15" fillId="0" borderId="17" xfId="0" applyNumberFormat="1" applyFont="1" applyBorder="1" applyAlignment="1">
      <alignment horizontal="center"/>
    </xf>
    <xf numFmtId="2" fontId="1" fillId="0" borderId="15" xfId="0" applyNumberFormat="1" applyFont="1" applyBorder="1" applyAlignment="1">
      <alignment horizontal="center" vertical="center"/>
    </xf>
    <xf numFmtId="164" fontId="17" fillId="0" borderId="15" xfId="0" applyNumberFormat="1" applyFont="1" applyBorder="1" applyAlignment="1">
      <alignment horizontal="center" vertical="center"/>
    </xf>
    <xf numFmtId="164" fontId="17" fillId="0" borderId="17" xfId="0" applyNumberFormat="1" applyFont="1" applyBorder="1" applyAlignment="1">
      <alignment horizontal="center" vertical="center"/>
    </xf>
    <xf numFmtId="0" fontId="17" fillId="7" borderId="27" xfId="0" applyFont="1" applyFill="1" applyBorder="1" applyAlignment="1">
      <alignment horizontal="center" vertical="center"/>
    </xf>
    <xf numFmtId="0" fontId="17" fillId="7" borderId="22" xfId="0" applyFont="1" applyFill="1" applyBorder="1" applyAlignment="1">
      <alignment horizontal="center" vertical="center"/>
    </xf>
    <xf numFmtId="164" fontId="17" fillId="0" borderId="22" xfId="0" applyNumberFormat="1" applyFont="1" applyBorder="1" applyAlignment="1">
      <alignment horizontal="center" vertical="center"/>
    </xf>
    <xf numFmtId="164" fontId="17" fillId="0" borderId="23" xfId="0" applyNumberFormat="1" applyFont="1" applyBorder="1" applyAlignment="1">
      <alignment horizontal="center" vertical="center"/>
    </xf>
    <xf numFmtId="0" fontId="1" fillId="0" borderId="21" xfId="0" applyFont="1" applyBorder="1" applyAlignment="1">
      <alignment horizontal="center" vertical="center"/>
    </xf>
    <xf numFmtId="2" fontId="1" fillId="0" borderId="22" xfId="0" applyNumberFormat="1" applyFont="1" applyBorder="1" applyAlignment="1">
      <alignment horizontal="center" vertical="center"/>
    </xf>
    <xf numFmtId="0" fontId="1" fillId="0" borderId="23" xfId="0" applyFont="1" applyBorder="1" applyAlignment="1">
      <alignment horizontal="center" vertical="center"/>
    </xf>
    <xf numFmtId="0" fontId="8" fillId="11" borderId="0" xfId="0" applyFont="1" applyFill="1"/>
    <xf numFmtId="0" fontId="1" fillId="11" borderId="0" xfId="0" applyFont="1" applyFill="1"/>
    <xf numFmtId="0" fontId="20" fillId="11" borderId="0" xfId="0" quotePrefix="1" applyFont="1" applyFill="1"/>
    <xf numFmtId="0" fontId="21" fillId="11" borderId="0" xfId="0" applyFont="1" applyFill="1"/>
    <xf numFmtId="0" fontId="14" fillId="12" borderId="24" xfId="0" applyFont="1" applyFill="1" applyBorder="1" applyAlignment="1">
      <alignment horizontal="center"/>
    </xf>
    <xf numFmtId="0" fontId="14" fillId="2" borderId="0" xfId="0" applyFont="1" applyFill="1" applyAlignment="1">
      <alignment horizontal="center"/>
    </xf>
    <xf numFmtId="0" fontId="21" fillId="11" borderId="0" xfId="0" quotePrefix="1" applyFont="1" applyFill="1"/>
    <xf numFmtId="0" fontId="0" fillId="11" borderId="0" xfId="0" applyFill="1"/>
    <xf numFmtId="0" fontId="11" fillId="13" borderId="8" xfId="0" applyFont="1" applyFill="1" applyBorder="1" applyAlignment="1">
      <alignment horizontal="center" vertical="center" wrapText="1"/>
    </xf>
    <xf numFmtId="0" fontId="11" fillId="13" borderId="15" xfId="0" applyFont="1" applyFill="1" applyBorder="1" applyAlignment="1">
      <alignment horizontal="center" vertical="center" wrapText="1"/>
    </xf>
    <xf numFmtId="0" fontId="11" fillId="13" borderId="34" xfId="0" applyFont="1" applyFill="1" applyBorder="1" applyAlignment="1">
      <alignment horizontal="center" vertical="center" wrapText="1"/>
    </xf>
    <xf numFmtId="0" fontId="11" fillId="13" borderId="35" xfId="0" applyFont="1" applyFill="1" applyBorder="1" applyAlignment="1">
      <alignment horizontal="center" vertical="center" wrapText="1"/>
    </xf>
    <xf numFmtId="0" fontId="11" fillId="14" borderId="0" xfId="0" applyFont="1" applyFill="1" applyAlignment="1">
      <alignment horizontal="center" vertical="center" wrapText="1"/>
    </xf>
    <xf numFmtId="0" fontId="11" fillId="15" borderId="9" xfId="0" applyFont="1" applyFill="1" applyBorder="1" applyAlignment="1">
      <alignment horizontal="center" vertical="center"/>
    </xf>
    <xf numFmtId="0" fontId="22" fillId="16" borderId="9" xfId="0" applyFont="1" applyFill="1" applyBorder="1" applyAlignment="1">
      <alignment horizontal="center" vertical="center"/>
    </xf>
    <xf numFmtId="2" fontId="23" fillId="7" borderId="36" xfId="0" applyNumberFormat="1" applyFont="1" applyFill="1" applyBorder="1" applyAlignment="1">
      <alignment horizontal="center" vertical="center"/>
    </xf>
    <xf numFmtId="0" fontId="23" fillId="6" borderId="9" xfId="0" applyFont="1" applyFill="1" applyBorder="1" applyAlignment="1">
      <alignment horizontal="center" vertical="center"/>
    </xf>
    <xf numFmtId="2" fontId="1" fillId="0" borderId="10" xfId="0" applyNumberFormat="1" applyFont="1" applyBorder="1" applyAlignment="1">
      <alignment horizontal="center" vertical="center"/>
    </xf>
    <xf numFmtId="0" fontId="23" fillId="6" borderId="0" xfId="0" applyFont="1" applyFill="1" applyAlignment="1">
      <alignment horizontal="center" vertical="center"/>
    </xf>
    <xf numFmtId="2" fontId="11" fillId="0" borderId="10" xfId="0" applyNumberFormat="1" applyFont="1" applyBorder="1" applyAlignment="1">
      <alignment horizontal="center" vertical="center"/>
    </xf>
    <xf numFmtId="2" fontId="22" fillId="0" borderId="10" xfId="0" applyNumberFormat="1" applyFont="1" applyBorder="1" applyAlignment="1">
      <alignment horizontal="center" vertical="center"/>
    </xf>
    <xf numFmtId="0" fontId="23" fillId="6" borderId="37" xfId="0" applyFont="1" applyFill="1" applyBorder="1" applyAlignment="1">
      <alignment horizontal="center" vertical="center"/>
    </xf>
    <xf numFmtId="2" fontId="1" fillId="0" borderId="38" xfId="0" applyNumberFormat="1" applyFont="1" applyBorder="1" applyAlignment="1">
      <alignment horizontal="center" vertical="center"/>
    </xf>
    <xf numFmtId="2" fontId="13" fillId="0" borderId="10" xfId="0" applyNumberFormat="1" applyFont="1" applyBorder="1" applyAlignment="1">
      <alignment horizontal="center" vertical="center"/>
    </xf>
    <xf numFmtId="2" fontId="1" fillId="0" borderId="39" xfId="0" applyNumberFormat="1" applyFont="1" applyBorder="1" applyAlignment="1">
      <alignment horizontal="center" vertical="center"/>
    </xf>
    <xf numFmtId="2" fontId="1" fillId="2" borderId="0" xfId="0" applyNumberFormat="1" applyFont="1" applyFill="1" applyAlignment="1">
      <alignment horizontal="center" vertical="center"/>
    </xf>
    <xf numFmtId="0" fontId="24" fillId="11" borderId="0" xfId="0" applyFont="1" applyFill="1"/>
    <xf numFmtId="2" fontId="11" fillId="0" borderId="38" xfId="0" applyNumberFormat="1" applyFont="1" applyBorder="1" applyAlignment="1">
      <alignment horizontal="center" vertical="center"/>
    </xf>
    <xf numFmtId="0" fontId="1" fillId="11" borderId="0" xfId="0" quotePrefix="1" applyFont="1" applyFill="1"/>
    <xf numFmtId="0" fontId="23" fillId="6" borderId="40" xfId="0" applyFont="1" applyFill="1" applyBorder="1" applyAlignment="1">
      <alignment horizontal="center" vertical="center"/>
    </xf>
    <xf numFmtId="2" fontId="1" fillId="11" borderId="0" xfId="0" applyNumberFormat="1" applyFont="1" applyFill="1"/>
    <xf numFmtId="0" fontId="11" fillId="13" borderId="4"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1" fillId="13" borderId="41" xfId="0" applyFont="1" applyFill="1" applyBorder="1" applyAlignment="1">
      <alignment horizontal="center" vertical="center" wrapText="1"/>
    </xf>
    <xf numFmtId="0" fontId="1" fillId="15" borderId="15" xfId="0" applyFont="1" applyFill="1" applyBorder="1" applyAlignment="1">
      <alignment horizontal="center" vertical="center"/>
    </xf>
    <xf numFmtId="2" fontId="1" fillId="7" borderId="15" xfId="0" applyNumberFormat="1" applyFont="1" applyFill="1" applyBorder="1" applyAlignment="1">
      <alignment horizontal="center" vertical="center"/>
    </xf>
    <xf numFmtId="2" fontId="1" fillId="15" borderId="15" xfId="0" applyNumberFormat="1" applyFont="1" applyFill="1" applyBorder="1" applyAlignment="1">
      <alignment horizontal="center" vertical="center"/>
    </xf>
    <xf numFmtId="0" fontId="22" fillId="16" borderId="15" xfId="0" applyFont="1" applyFill="1" applyBorder="1" applyAlignment="1">
      <alignment horizontal="center" vertical="center"/>
    </xf>
    <xf numFmtId="0" fontId="25" fillId="17" borderId="42" xfId="0" applyFont="1" applyFill="1" applyBorder="1" applyAlignment="1">
      <alignment horizontal="center" vertical="center"/>
    </xf>
    <xf numFmtId="0" fontId="11" fillId="13" borderId="43" xfId="0" applyFont="1" applyFill="1" applyBorder="1" applyAlignment="1">
      <alignment horizontal="center" vertical="center" wrapText="1"/>
    </xf>
    <xf numFmtId="0" fontId="11" fillId="13" borderId="44" xfId="0" applyFont="1" applyFill="1" applyBorder="1" applyAlignment="1">
      <alignment horizontal="center" vertical="center" wrapText="1"/>
    </xf>
    <xf numFmtId="0" fontId="11" fillId="0" borderId="33" xfId="0" applyFont="1" applyBorder="1" applyAlignment="1">
      <alignment horizontal="center"/>
    </xf>
    <xf numFmtId="0" fontId="1" fillId="4" borderId="9" xfId="0" applyFont="1" applyFill="1" applyBorder="1" applyAlignment="1">
      <alignment horizontal="center" vertical="center" readingOrder="1"/>
    </xf>
    <xf numFmtId="0" fontId="1" fillId="0" borderId="36" xfId="0" applyFont="1" applyBorder="1" applyAlignment="1">
      <alignment horizontal="center" vertical="center"/>
    </xf>
    <xf numFmtId="0" fontId="1" fillId="0" borderId="37" xfId="0" applyFont="1" applyBorder="1" applyAlignment="1">
      <alignment horizontal="center" vertical="center"/>
    </xf>
    <xf numFmtId="2" fontId="22" fillId="0" borderId="9" xfId="0" applyNumberFormat="1" applyFont="1" applyBorder="1" applyAlignment="1">
      <alignment horizontal="center" vertical="center"/>
    </xf>
    <xf numFmtId="2" fontId="22" fillId="0" borderId="37" xfId="0" applyNumberFormat="1" applyFont="1" applyBorder="1" applyAlignment="1">
      <alignment horizontal="center" vertical="center"/>
    </xf>
    <xf numFmtId="167" fontId="1" fillId="15" borderId="15" xfId="0" applyNumberFormat="1" applyFont="1" applyFill="1" applyBorder="1" applyAlignment="1">
      <alignment horizontal="center" vertical="center"/>
    </xf>
    <xf numFmtId="2" fontId="1" fillId="0" borderId="36"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0" borderId="45" xfId="0" applyNumberFormat="1" applyFont="1" applyBorder="1" applyAlignment="1">
      <alignment horizontal="center" vertical="center"/>
    </xf>
    <xf numFmtId="0" fontId="22" fillId="4" borderId="46" xfId="0" applyFont="1" applyFill="1" applyBorder="1" applyAlignment="1">
      <alignment horizontal="center" vertical="center"/>
    </xf>
    <xf numFmtId="0" fontId="1" fillId="0" borderId="27" xfId="0" applyFont="1" applyBorder="1" applyAlignment="1">
      <alignment horizontal="center"/>
    </xf>
    <xf numFmtId="167" fontId="1" fillId="15" borderId="34" xfId="0" applyNumberFormat="1" applyFont="1" applyFill="1" applyBorder="1" applyAlignment="1">
      <alignment horizontal="center" vertical="center"/>
    </xf>
    <xf numFmtId="0" fontId="25" fillId="18" borderId="24" xfId="0" applyFont="1" applyFill="1" applyBorder="1" applyAlignment="1">
      <alignment horizontal="center" vertical="center"/>
    </xf>
    <xf numFmtId="0" fontId="25" fillId="18" borderId="47" xfId="0" applyFont="1" applyFill="1" applyBorder="1" applyAlignment="1">
      <alignment horizontal="center" vertical="center"/>
    </xf>
    <xf numFmtId="0" fontId="25" fillId="18" borderId="30" xfId="0" applyFont="1" applyFill="1" applyBorder="1" applyAlignment="1">
      <alignment horizontal="center" vertical="center"/>
    </xf>
    <xf numFmtId="0" fontId="11" fillId="0" borderId="8" xfId="0" applyFont="1" applyBorder="1" applyAlignment="1">
      <alignment horizontal="center"/>
    </xf>
    <xf numFmtId="167" fontId="11" fillId="15" borderId="15" xfId="0" applyNumberFormat="1" applyFont="1" applyFill="1" applyBorder="1" applyAlignment="1">
      <alignment horizontal="center" vertical="center"/>
    </xf>
    <xf numFmtId="167" fontId="11" fillId="15" borderId="48" xfId="0" applyNumberFormat="1" applyFont="1" applyFill="1" applyBorder="1" applyAlignment="1">
      <alignment horizontal="center" vertical="center"/>
    </xf>
    <xf numFmtId="2" fontId="11" fillId="0" borderId="15" xfId="0" applyNumberFormat="1" applyFont="1" applyBorder="1" applyAlignment="1">
      <alignment horizontal="center" vertical="center"/>
    </xf>
    <xf numFmtId="2" fontId="11" fillId="0" borderId="9" xfId="0" applyNumberFormat="1" applyFont="1" applyBorder="1" applyAlignment="1">
      <alignment horizontal="center" vertical="center"/>
    </xf>
    <xf numFmtId="2" fontId="11" fillId="0" borderId="45" xfId="0" applyNumberFormat="1" applyFont="1" applyBorder="1" applyAlignment="1">
      <alignment horizontal="center" vertical="center"/>
    </xf>
    <xf numFmtId="167" fontId="11" fillId="15" borderId="46" xfId="0" applyNumberFormat="1" applyFont="1" applyFill="1" applyBorder="1" applyAlignment="1">
      <alignment horizontal="center" vertical="center"/>
    </xf>
    <xf numFmtId="167" fontId="11" fillId="15" borderId="49" xfId="0" applyNumberFormat="1" applyFont="1" applyFill="1" applyBorder="1" applyAlignment="1">
      <alignment horizontal="center" vertical="center"/>
    </xf>
    <xf numFmtId="167" fontId="11" fillId="15" borderId="9" xfId="0" applyNumberFormat="1" applyFont="1" applyFill="1" applyBorder="1" applyAlignment="1">
      <alignment horizontal="center" vertical="center"/>
    </xf>
    <xf numFmtId="167" fontId="11" fillId="15" borderId="36" xfId="0" applyNumberFormat="1" applyFont="1" applyFill="1" applyBorder="1" applyAlignment="1">
      <alignment horizontal="center" vertical="center"/>
    </xf>
    <xf numFmtId="167" fontId="11" fillId="15" borderId="34" xfId="0" applyNumberFormat="1" applyFont="1" applyFill="1" applyBorder="1" applyAlignment="1">
      <alignment horizontal="center" vertical="center"/>
    </xf>
    <xf numFmtId="167" fontId="11" fillId="15" borderId="35" xfId="0" applyNumberFormat="1" applyFont="1" applyFill="1" applyBorder="1" applyAlignment="1">
      <alignment horizontal="center" vertical="center"/>
    </xf>
    <xf numFmtId="2" fontId="1" fillId="0" borderId="18" xfId="0" applyNumberFormat="1" applyFont="1" applyBorder="1" applyAlignment="1">
      <alignment horizontal="center" vertical="center"/>
    </xf>
    <xf numFmtId="0" fontId="1" fillId="0" borderId="33" xfId="0" applyFont="1" applyBorder="1" applyAlignment="1">
      <alignment horizontal="center"/>
    </xf>
    <xf numFmtId="167" fontId="11" fillId="15" borderId="37" xfId="0" applyNumberFormat="1" applyFont="1" applyFill="1" applyBorder="1" applyAlignment="1">
      <alignment horizontal="center" vertical="center"/>
    </xf>
    <xf numFmtId="2" fontId="11" fillId="15" borderId="15" xfId="0" applyNumberFormat="1" applyFont="1" applyFill="1" applyBorder="1" applyAlignment="1">
      <alignment horizontal="center" vertical="center"/>
    </xf>
    <xf numFmtId="0" fontId="1" fillId="0" borderId="21" xfId="0" applyFont="1" applyBorder="1" applyAlignment="1">
      <alignment horizontal="center"/>
    </xf>
    <xf numFmtId="167" fontId="11" fillId="15" borderId="50" xfId="0" applyNumberFormat="1" applyFont="1" applyFill="1" applyBorder="1" applyAlignment="1">
      <alignment horizontal="center" vertical="center"/>
    </xf>
    <xf numFmtId="2" fontId="11" fillId="15" borderId="22" xfId="0" applyNumberFormat="1" applyFont="1" applyFill="1" applyBorder="1" applyAlignment="1">
      <alignment horizontal="center" vertical="center"/>
    </xf>
    <xf numFmtId="2" fontId="11" fillId="0" borderId="22" xfId="0" applyNumberFormat="1" applyFont="1" applyBorder="1" applyAlignment="1">
      <alignment horizontal="center" vertical="center"/>
    </xf>
    <xf numFmtId="2" fontId="11" fillId="0" borderId="51" xfId="0" applyNumberFormat="1" applyFont="1" applyBorder="1" applyAlignment="1">
      <alignment horizontal="center" vertical="center"/>
    </xf>
    <xf numFmtId="2" fontId="11" fillId="0" borderId="52" xfId="0" applyNumberFormat="1" applyFont="1" applyBorder="1" applyAlignment="1">
      <alignment horizontal="center" vertical="center"/>
    </xf>
    <xf numFmtId="167" fontId="11" fillId="15" borderId="53" xfId="0" applyNumberFormat="1" applyFont="1" applyFill="1" applyBorder="1" applyAlignment="1">
      <alignment horizontal="center" vertical="center"/>
    </xf>
    <xf numFmtId="167" fontId="11" fillId="15" borderId="54" xfId="0" applyNumberFormat="1" applyFont="1" applyFill="1" applyBorder="1" applyAlignment="1">
      <alignment horizontal="center" vertical="center"/>
    </xf>
    <xf numFmtId="0" fontId="26" fillId="19" borderId="0" xfId="0" applyFont="1" applyFill="1"/>
    <xf numFmtId="0" fontId="1" fillId="19" borderId="0" xfId="0" applyFont="1" applyFill="1"/>
    <xf numFmtId="0" fontId="25" fillId="17" borderId="24" xfId="0" applyFont="1" applyFill="1" applyBorder="1" applyAlignment="1">
      <alignment horizontal="center" vertical="center"/>
    </xf>
    <xf numFmtId="0" fontId="25" fillId="17" borderId="47" xfId="0" applyFont="1" applyFill="1" applyBorder="1" applyAlignment="1">
      <alignment horizontal="center" vertical="center"/>
    </xf>
    <xf numFmtId="0" fontId="11" fillId="13" borderId="17" xfId="0" applyFont="1" applyFill="1" applyBorder="1" applyAlignment="1">
      <alignment horizontal="center" vertical="center" wrapText="1"/>
    </xf>
    <xf numFmtId="0" fontId="22" fillId="16" borderId="46" xfId="0" applyFont="1" applyFill="1" applyBorder="1" applyAlignment="1">
      <alignment horizontal="center" vertical="center"/>
    </xf>
    <xf numFmtId="0" fontId="1" fillId="15" borderId="48" xfId="0" applyFont="1" applyFill="1" applyBorder="1" applyAlignment="1">
      <alignment horizontal="center" vertical="center"/>
    </xf>
    <xf numFmtId="0" fontId="1" fillId="0" borderId="9" xfId="0" applyFont="1" applyBorder="1" applyAlignment="1">
      <alignment horizontal="center" vertical="center"/>
    </xf>
    <xf numFmtId="168" fontId="22" fillId="15" borderId="9" xfId="0" applyNumberFormat="1" applyFont="1" applyFill="1" applyBorder="1" applyAlignment="1">
      <alignment horizontal="center" vertical="center"/>
    </xf>
    <xf numFmtId="168" fontId="1" fillId="15" borderId="36" xfId="0" applyNumberFormat="1" applyFont="1" applyFill="1" applyBorder="1" applyAlignment="1">
      <alignment horizontal="center" vertical="center"/>
    </xf>
    <xf numFmtId="0" fontId="1" fillId="15" borderId="36" xfId="0" applyFont="1" applyFill="1" applyBorder="1" applyAlignment="1">
      <alignment horizontal="center" vertical="center"/>
    </xf>
    <xf numFmtId="0" fontId="1" fillId="15" borderId="46" xfId="0" applyFont="1" applyFill="1" applyBorder="1" applyAlignment="1">
      <alignment horizontal="center" vertical="center"/>
    </xf>
    <xf numFmtId="0" fontId="1" fillId="15" borderId="9" xfId="0" applyFont="1" applyFill="1" applyBorder="1" applyAlignment="1">
      <alignment horizontal="center" vertical="center"/>
    </xf>
    <xf numFmtId="0" fontId="1" fillId="7" borderId="0" xfId="0" applyFont="1" applyFill="1" applyAlignment="1">
      <alignment horizontal="center"/>
    </xf>
    <xf numFmtId="168" fontId="22" fillId="15" borderId="0" xfId="0" applyNumberFormat="1" applyFont="1" applyFill="1" applyAlignment="1">
      <alignment horizontal="center" vertical="center"/>
    </xf>
    <xf numFmtId="0" fontId="25" fillId="18" borderId="24" xfId="0" applyFont="1" applyFill="1" applyBorder="1" applyAlignment="1">
      <alignment horizontal="center" vertical="center"/>
    </xf>
    <xf numFmtId="0" fontId="25" fillId="18" borderId="47" xfId="0" applyFont="1" applyFill="1" applyBorder="1" applyAlignment="1">
      <alignment horizontal="center" vertical="center"/>
    </xf>
    <xf numFmtId="0" fontId="25" fillId="18" borderId="30" xfId="0" applyFont="1" applyFill="1" applyBorder="1" applyAlignment="1">
      <alignment horizontal="center" vertical="center"/>
    </xf>
    <xf numFmtId="0" fontId="1" fillId="0" borderId="8" xfId="0" applyFont="1" applyBorder="1" applyAlignment="1">
      <alignment horizontal="center"/>
    </xf>
    <xf numFmtId="0" fontId="1" fillId="0" borderId="43" xfId="0" applyFont="1" applyBorder="1" applyAlignment="1">
      <alignment horizontal="center"/>
    </xf>
    <xf numFmtId="2" fontId="1" fillId="0" borderId="34" xfId="0" applyNumberFormat="1" applyFont="1" applyBorder="1" applyAlignment="1">
      <alignment horizontal="center" vertical="center"/>
    </xf>
    <xf numFmtId="2" fontId="11" fillId="0" borderId="34" xfId="0" applyNumberFormat="1" applyFont="1" applyBorder="1" applyAlignment="1">
      <alignment horizontal="center" vertical="center"/>
    </xf>
    <xf numFmtId="2" fontId="11" fillId="15" borderId="34" xfId="0" applyNumberFormat="1" applyFont="1" applyFill="1" applyBorder="1" applyAlignment="1">
      <alignment horizontal="center" vertical="center"/>
    </xf>
    <xf numFmtId="2" fontId="11" fillId="0" borderId="48" xfId="0" applyNumberFormat="1" applyFont="1" applyBorder="1" applyAlignment="1">
      <alignment horizontal="center" vertical="center"/>
    </xf>
    <xf numFmtId="2" fontId="11" fillId="0" borderId="55" xfId="0" applyNumberFormat="1" applyFont="1" applyBorder="1" applyAlignment="1">
      <alignment horizontal="center" vertical="center"/>
    </xf>
    <xf numFmtId="0" fontId="1" fillId="2" borderId="0" xfId="0" applyFont="1" applyFill="1" applyAlignment="1">
      <alignment vertical="center"/>
    </xf>
    <xf numFmtId="0" fontId="27" fillId="0" borderId="56" xfId="0" applyFont="1" applyBorder="1" applyAlignment="1">
      <alignment horizontal="center" wrapText="1"/>
    </xf>
    <xf numFmtId="0" fontId="27" fillId="0" borderId="31" xfId="0" applyFont="1" applyBorder="1" applyAlignment="1">
      <alignment horizontal="center" wrapText="1"/>
    </xf>
    <xf numFmtId="0" fontId="8" fillId="0" borderId="31" xfId="0" applyFont="1" applyBorder="1" applyAlignment="1">
      <alignment horizontal="center" wrapText="1"/>
    </xf>
    <xf numFmtId="0" fontId="8" fillId="0" borderId="32" xfId="0" applyFont="1" applyBorder="1" applyAlignment="1">
      <alignment horizontal="center" wrapText="1"/>
    </xf>
    <xf numFmtId="0" fontId="8" fillId="0" borderId="56" xfId="0" applyFont="1" applyBorder="1" applyAlignment="1">
      <alignment horizontal="center" wrapText="1"/>
    </xf>
    <xf numFmtId="0" fontId="8" fillId="0" borderId="31" xfId="0" applyFont="1" applyBorder="1" applyAlignment="1">
      <alignment horizontal="center"/>
    </xf>
    <xf numFmtId="164" fontId="1" fillId="20" borderId="15" xfId="0" applyNumberFormat="1" applyFont="1" applyFill="1" applyBorder="1" applyAlignment="1">
      <alignment horizontal="center"/>
    </xf>
    <xf numFmtId="0" fontId="8" fillId="20" borderId="31" xfId="0" applyFont="1" applyFill="1" applyBorder="1" applyAlignment="1">
      <alignment horizontal="center" wrapText="1"/>
    </xf>
    <xf numFmtId="0" fontId="28" fillId="20" borderId="31" xfId="0" applyFont="1" applyFill="1" applyBorder="1" applyAlignment="1">
      <alignment horizontal="center" wrapText="1"/>
    </xf>
    <xf numFmtId="0" fontId="28" fillId="20" borderId="32" xfId="0" applyFont="1" applyFill="1" applyBorder="1" applyAlignment="1">
      <alignment horizontal="center" wrapText="1"/>
    </xf>
    <xf numFmtId="0" fontId="8" fillId="21" borderId="56" xfId="0" applyFont="1" applyFill="1" applyBorder="1" applyAlignment="1">
      <alignment horizontal="center" wrapText="1"/>
    </xf>
    <xf numFmtId="0" fontId="8" fillId="21" borderId="31" xfId="0" applyFont="1" applyFill="1" applyBorder="1" applyAlignment="1">
      <alignment horizontal="center"/>
    </xf>
    <xf numFmtId="0" fontId="28" fillId="21" borderId="31" xfId="0" applyFont="1" applyFill="1" applyBorder="1" applyAlignment="1">
      <alignment horizontal="center" wrapText="1"/>
    </xf>
    <xf numFmtId="0" fontId="28" fillId="21" borderId="32" xfId="0" applyFont="1" applyFill="1" applyBorder="1" applyAlignment="1">
      <alignment horizontal="center" wrapText="1"/>
    </xf>
    <xf numFmtId="0" fontId="29" fillId="0" borderId="56" xfId="0" applyFont="1" applyBorder="1" applyAlignment="1">
      <alignment wrapText="1"/>
    </xf>
    <xf numFmtId="0" fontId="29" fillId="0" borderId="31" xfId="0" applyFont="1" applyBorder="1" applyAlignment="1">
      <alignment wrapText="1"/>
    </xf>
    <xf numFmtId="0" fontId="28" fillId="0" borderId="31" xfId="0" applyFont="1" applyBorder="1" applyAlignment="1">
      <alignment horizontal="center" wrapText="1"/>
    </xf>
    <xf numFmtId="0" fontId="28" fillId="7" borderId="31" xfId="0" applyFont="1" applyFill="1" applyBorder="1" applyAlignment="1">
      <alignment horizontal="center" wrapText="1"/>
    </xf>
    <xf numFmtId="0" fontId="8" fillId="0" borderId="32" xfId="0" applyFont="1" applyBorder="1" applyAlignment="1">
      <alignment horizontal="center"/>
    </xf>
    <xf numFmtId="0" fontId="8" fillId="22" borderId="31" xfId="0" applyFont="1" applyFill="1" applyBorder="1" applyAlignment="1">
      <alignment horizontal="center" wrapText="1"/>
    </xf>
    <xf numFmtId="0" fontId="8" fillId="22" borderId="57" xfId="0" applyFont="1" applyFill="1" applyBorder="1" applyAlignment="1">
      <alignment horizontal="center" wrapText="1"/>
    </xf>
    <xf numFmtId="0" fontId="30" fillId="0" borderId="49" xfId="0" applyFont="1" applyBorder="1" applyAlignment="1">
      <alignment wrapText="1"/>
    </xf>
    <xf numFmtId="0" fontId="8" fillId="3" borderId="0" xfId="0" applyFont="1" applyFill="1" applyAlignment="1">
      <alignment horizontal="center"/>
    </xf>
    <xf numFmtId="2" fontId="1" fillId="3" borderId="8" xfId="0" applyNumberFormat="1" applyFont="1" applyFill="1" applyBorder="1" applyAlignment="1">
      <alignment horizontal="center"/>
    </xf>
    <xf numFmtId="164" fontId="1" fillId="3" borderId="15" xfId="0" applyNumberFormat="1" applyFont="1" applyFill="1" applyBorder="1" applyAlignment="1">
      <alignment horizontal="center"/>
    </xf>
    <xf numFmtId="2" fontId="1" fillId="3" borderId="15" xfId="0" applyNumberFormat="1" applyFont="1" applyFill="1" applyBorder="1" applyAlignment="1">
      <alignment horizontal="center"/>
    </xf>
    <xf numFmtId="164" fontId="1" fillId="3" borderId="17" xfId="0" applyNumberFormat="1" applyFont="1" applyFill="1" applyBorder="1" applyAlignment="1">
      <alignment horizontal="center"/>
    </xf>
    <xf numFmtId="164" fontId="1" fillId="3" borderId="8" xfId="0" applyNumberFormat="1" applyFont="1" applyFill="1" applyBorder="1" applyAlignment="1">
      <alignment horizontal="center"/>
    </xf>
    <xf numFmtId="164" fontId="1" fillId="20" borderId="0" xfId="0" applyNumberFormat="1" applyFont="1" applyFill="1" applyAlignment="1">
      <alignment horizontal="center"/>
    </xf>
    <xf numFmtId="1" fontId="1" fillId="20" borderId="15" xfId="0" applyNumberFormat="1" applyFont="1" applyFill="1" applyBorder="1" applyAlignment="1">
      <alignment horizontal="center"/>
    </xf>
    <xf numFmtId="164" fontId="1" fillId="20" borderId="35" xfId="0" applyNumberFormat="1" applyFont="1" applyFill="1" applyBorder="1" applyAlignment="1">
      <alignment horizontal="center"/>
    </xf>
    <xf numFmtId="164" fontId="1" fillId="21" borderId="58" xfId="0" applyNumberFormat="1" applyFont="1" applyFill="1" applyBorder="1" applyAlignment="1">
      <alignment horizontal="center"/>
    </xf>
    <xf numFmtId="164" fontId="1" fillId="21" borderId="9" xfId="0" applyNumberFormat="1" applyFont="1" applyFill="1" applyBorder="1" applyAlignment="1">
      <alignment horizontal="center"/>
    </xf>
    <xf numFmtId="0" fontId="8" fillId="21" borderId="9" xfId="0" applyFont="1" applyFill="1" applyBorder="1" applyAlignment="1">
      <alignment horizontal="center" wrapText="1"/>
    </xf>
    <xf numFmtId="164" fontId="1" fillId="21" borderId="0" xfId="0" applyNumberFormat="1" applyFont="1" applyFill="1" applyAlignment="1">
      <alignment horizontal="center"/>
    </xf>
    <xf numFmtId="164" fontId="13" fillId="21" borderId="37" xfId="0" applyNumberFormat="1" applyFont="1" applyFill="1" applyBorder="1" applyAlignment="1">
      <alignment horizontal="center"/>
    </xf>
    <xf numFmtId="0" fontId="20" fillId="23" borderId="58" xfId="0" applyFont="1" applyFill="1" applyBorder="1" applyAlignment="1">
      <alignment wrapText="1"/>
    </xf>
    <xf numFmtId="0" fontId="20" fillId="23" borderId="9" xfId="0" applyFont="1" applyFill="1" applyBorder="1" applyAlignment="1">
      <alignment wrapText="1"/>
    </xf>
    <xf numFmtId="0" fontId="20" fillId="23" borderId="9" xfId="0" applyFont="1" applyFill="1" applyBorder="1"/>
    <xf numFmtId="0" fontId="20" fillId="23" borderId="15" xfId="0" applyFont="1" applyFill="1" applyBorder="1" applyAlignment="1">
      <alignment wrapText="1"/>
    </xf>
    <xf numFmtId="0" fontId="31" fillId="23" borderId="9" xfId="0" applyFont="1" applyFill="1" applyBorder="1"/>
    <xf numFmtId="164" fontId="1" fillId="7" borderId="9" xfId="0" applyNumberFormat="1" applyFont="1" applyFill="1" applyBorder="1" applyAlignment="1">
      <alignment horizontal="center"/>
    </xf>
    <xf numFmtId="164" fontId="1" fillId="3" borderId="9" xfId="0" applyNumberFormat="1" applyFont="1" applyFill="1" applyBorder="1" applyAlignment="1">
      <alignment horizontal="center" wrapText="1"/>
    </xf>
    <xf numFmtId="164" fontId="1" fillId="3" borderId="9" xfId="0" applyNumberFormat="1" applyFont="1" applyFill="1" applyBorder="1" applyAlignment="1">
      <alignment horizontal="center"/>
    </xf>
    <xf numFmtId="164" fontId="1" fillId="24" borderId="9" xfId="0" applyNumberFormat="1" applyFont="1" applyFill="1" applyBorder="1" applyAlignment="1">
      <alignment horizontal="center"/>
    </xf>
    <xf numFmtId="164" fontId="13" fillId="3" borderId="9" xfId="0" applyNumberFormat="1" applyFont="1" applyFill="1" applyBorder="1" applyAlignment="1">
      <alignment horizontal="center"/>
    </xf>
    <xf numFmtId="164" fontId="1" fillId="3" borderId="59" xfId="0" applyNumberFormat="1" applyFont="1" applyFill="1" applyBorder="1" applyAlignment="1">
      <alignment horizontal="center"/>
    </xf>
    <xf numFmtId="164" fontId="1" fillId="3" borderId="36" xfId="0" applyNumberFormat="1" applyFont="1" applyFill="1" applyBorder="1" applyAlignment="1">
      <alignment horizontal="center"/>
    </xf>
    <xf numFmtId="164" fontId="1" fillId="3" borderId="37" xfId="0" applyNumberFormat="1" applyFont="1" applyFill="1" applyBorder="1" applyAlignment="1">
      <alignment horizontal="center"/>
    </xf>
    <xf numFmtId="164" fontId="0" fillId="0" borderId="60" xfId="0" applyNumberFormat="1" applyBorder="1"/>
    <xf numFmtId="164" fontId="0" fillId="0" borderId="61" xfId="0" applyNumberFormat="1" applyBorder="1"/>
    <xf numFmtId="1" fontId="1" fillId="3" borderId="9" xfId="0" applyNumberFormat="1" applyFont="1" applyFill="1" applyBorder="1" applyAlignment="1">
      <alignment horizontal="center"/>
    </xf>
    <xf numFmtId="164" fontId="1" fillId="3" borderId="0" xfId="0" applyNumberFormat="1" applyFont="1" applyFill="1" applyAlignment="1">
      <alignment horizontal="center"/>
    </xf>
    <xf numFmtId="164" fontId="1" fillId="21" borderId="15" xfId="0" applyNumberFormat="1" applyFont="1" applyFill="1" applyBorder="1" applyAlignment="1">
      <alignment horizontal="center"/>
    </xf>
    <xf numFmtId="164" fontId="1" fillId="21" borderId="37" xfId="0" applyNumberFormat="1" applyFont="1" applyFill="1" applyBorder="1" applyAlignment="1">
      <alignment horizontal="center"/>
    </xf>
    <xf numFmtId="164" fontId="0" fillId="0" borderId="58" xfId="0" applyNumberFormat="1" applyBorder="1"/>
    <xf numFmtId="164" fontId="0" fillId="0" borderId="37" xfId="0" applyNumberFormat="1" applyBorder="1"/>
    <xf numFmtId="167" fontId="1" fillId="3" borderId="15" xfId="0" applyNumberFormat="1" applyFont="1" applyFill="1" applyBorder="1" applyAlignment="1">
      <alignment horizontal="center"/>
    </xf>
    <xf numFmtId="0" fontId="32" fillId="23" borderId="15" xfId="0" applyFont="1" applyFill="1" applyBorder="1"/>
    <xf numFmtId="0" fontId="1" fillId="3" borderId="62" xfId="0" applyFont="1" applyFill="1" applyBorder="1"/>
    <xf numFmtId="0" fontId="20" fillId="23" borderId="63" xfId="0" applyFont="1" applyFill="1" applyBorder="1"/>
    <xf numFmtId="0" fontId="20" fillId="23" borderId="63" xfId="0" applyFont="1" applyFill="1" applyBorder="1" applyAlignment="1">
      <alignment wrapText="1"/>
    </xf>
    <xf numFmtId="0" fontId="20" fillId="23" borderId="64" xfId="0" applyFont="1" applyFill="1" applyBorder="1"/>
    <xf numFmtId="0" fontId="20" fillId="23" borderId="0" xfId="0" applyFont="1" applyFill="1" applyAlignment="1">
      <alignment wrapText="1"/>
    </xf>
    <xf numFmtId="0" fontId="20" fillId="23" borderId="0" xfId="0" applyFont="1" applyFill="1"/>
    <xf numFmtId="0" fontId="1" fillId="3" borderId="0" xfId="0" applyFont="1" applyFill="1" applyAlignment="1">
      <alignment wrapText="1"/>
    </xf>
    <xf numFmtId="0" fontId="1" fillId="3" borderId="65" xfId="0" applyFont="1" applyFill="1" applyBorder="1"/>
    <xf numFmtId="164" fontId="20" fillId="23" borderId="0" xfId="0" applyNumberFormat="1" applyFont="1" applyFill="1" applyAlignment="1">
      <alignment wrapText="1"/>
    </xf>
    <xf numFmtId="164" fontId="20" fillId="23" borderId="66" xfId="0" applyNumberFormat="1" applyFont="1" applyFill="1" applyBorder="1"/>
    <xf numFmtId="0" fontId="20" fillId="23" borderId="66" xfId="0" applyFont="1" applyFill="1" applyBorder="1"/>
    <xf numFmtId="0" fontId="20" fillId="23" borderId="67" xfId="0" applyFont="1" applyFill="1" applyBorder="1"/>
    <xf numFmtId="0" fontId="20" fillId="23" borderId="68" xfId="0" applyFont="1" applyFill="1" applyBorder="1" applyAlignment="1">
      <alignment wrapText="1"/>
    </xf>
    <xf numFmtId="0" fontId="20" fillId="23" borderId="68" xfId="0" applyFont="1" applyFill="1" applyBorder="1"/>
    <xf numFmtId="0" fontId="20" fillId="23" borderId="69" xfId="0" applyFont="1" applyFill="1" applyBorder="1"/>
    <xf numFmtId="0" fontId="23" fillId="6" borderId="0" xfId="0" applyFont="1" applyFill="1" applyBorder="1" applyAlignment="1">
      <alignment horizontal="center" vertical="center"/>
    </xf>
  </cellXfs>
  <cellStyles count="1">
    <cellStyle name="Normal"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am Ngo" id="{EB022FA0-6AB9-4CF7-93EB-2094B53DEB14}" userId="S::nngo@dcwater.com::249bb9de-72eb-4c64-85ae-731f463b03a0" providerId="AD"/>
  <person displayName="Hafiza Khadija Ijaz" id="{956397D1-5390-4FD7-90D0-7BBB3F6F36E5}" userId="S::hljaz@dcwater.com::18df4640-6973-445c-83f4-148f3ddfa90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2" dT="2025-02-24T23:32:01.73" personId="{EB022FA0-6AB9-4CF7-93EB-2094B53DEB14}" id="{57DE813A-079F-45F6-92E6-CE49F63051B2}">
    <text>Use Power BI link to keep track of SBT3 TS</text>
  </threadedComment>
  <threadedComment ref="B12" dT="2025-02-24T23:32:44.32" personId="{EB022FA0-6AB9-4CF7-93EB-2094B53DEB14}" id="{17F74788-AF54-4054-BEBB-224C5B95CF5F}" parentId="{57DE813A-079F-45F6-92E6-CE49F63051B2}">
    <text>https://app.powerbi.com/links/HmphV_SRql?ctid=8d05cdc4-bf69-4e6a-b5d3-428050a7f00f&amp;pbi_source=linkShare&amp;bookmarkGuid=8646a84a-93f8-4958-b225-6d1c00498ce5</text>
    <extLst>
      <x:ext xmlns:xltc2="http://schemas.microsoft.com/office/spreadsheetml/2020/threadedcomments2" uri="{F7C98A9C-CBB3-438F-8F68-D28B6AF4A901}">
        <xltc2:checksum>3923124009</xltc2:checksum>
        <xltc2:hyperlink startIndex="0" length="153" url="https://app.powerbi.com/links/HmphV_SRql?ctid=8d05cdc4-bf69-4e6a-b5d3-428050a7f00f&amp;pbi_source=linkShare&amp;bookmarkGuid=8646a84a-93f8-4958-b225-6d1c00498ce5"/>
      </x:ext>
    </extLst>
  </threadedComment>
  <threadedComment ref="B13" dT="2025-02-24T23:38:14.20" personId="{EB022FA0-6AB9-4CF7-93EB-2094B53DEB14}" id="{8541F2F8-0740-4494-A65F-824F9028557D}">
    <text>During the testing, please use previous fe feed TS for decision making, Please make sure we use the measured valued in the same day to estimate the right polymer dose in lb/ton</text>
  </threadedComment>
  <threadedComment ref="B32" dT="2024-03-18T18:46:56.38" personId="{956397D1-5390-4FD7-90D0-7BBB3F6F36E5}" id="{A8DDD0D4-59EE-4C7A-BE9E-E0091F15CFD7}">
    <text>Red highlighted value comes from plant data conversion table</text>
  </threadedComment>
  <threadedComment ref="D51" dT="2024-03-18T18:43:00.87" personId="{956397D1-5390-4FD7-90D0-7BBB3F6F36E5}" id="{6C5E8616-2F4A-4F62-8462-AC5CAFCE02E7}">
    <text xml:space="preserve">Sample volume will remain same unless need to change due to thickness of filtrate </text>
  </threadedComment>
  <threadedComment ref="D62" dT="2024-03-18T18:46:02.76" personId="{956397D1-5390-4FD7-90D0-7BBB3F6F36E5}" id="{62DA503D-1221-4439-B718-0EC96293403C}">
    <text>Sample + Tray weight &gt;= 5g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EEEC4-5C3A-48A0-9B0F-6CAD6741D885}">
  <sheetPr>
    <pageSetUpPr fitToPage="1"/>
  </sheetPr>
  <dimension ref="A1:AZ109"/>
  <sheetViews>
    <sheetView tabSelected="1" view="pageBreakPreview" zoomScale="70" zoomScaleNormal="70" zoomScaleSheetLayoutView="70" workbookViewId="0">
      <selection activeCell="B21" sqref="B21"/>
    </sheetView>
  </sheetViews>
  <sheetFormatPr defaultColWidth="8.5703125" defaultRowHeight="15.75" customHeight="1" outlineLevelRow="2" x14ac:dyDescent="0.25"/>
  <cols>
    <col min="1" max="1" width="39.28515625" style="4" customWidth="1"/>
    <col min="2" max="2" width="27.140625" style="4" customWidth="1"/>
    <col min="3" max="3" width="32.28515625" style="4" customWidth="1"/>
    <col min="4" max="4" width="22.28515625" style="4" bestFit="1" customWidth="1"/>
    <col min="5" max="5" width="23.28515625" style="4" bestFit="1" customWidth="1"/>
    <col min="6" max="6" width="25.85546875" style="4" bestFit="1" customWidth="1"/>
    <col min="7" max="8" width="17" style="4" bestFit="1" customWidth="1"/>
    <col min="9" max="9" width="18.28515625" style="4" customWidth="1"/>
    <col min="10" max="10" width="15.85546875" style="4" bestFit="1" customWidth="1"/>
    <col min="11" max="11" width="16.28515625" style="4" bestFit="1" customWidth="1"/>
    <col min="12" max="12" width="18.7109375" style="4" customWidth="1"/>
    <col min="13" max="13" width="17.28515625" style="4" bestFit="1" customWidth="1"/>
    <col min="14" max="14" width="36.28515625" style="4" bestFit="1" customWidth="1"/>
    <col min="15" max="15" width="11.140625" style="4" bestFit="1" customWidth="1"/>
    <col min="16" max="16" width="18.85546875" style="4" bestFit="1" customWidth="1"/>
    <col min="17" max="17" width="11.140625" style="4" bestFit="1" customWidth="1"/>
    <col min="18" max="18" width="11.85546875" style="4" bestFit="1" customWidth="1"/>
    <col min="19" max="21" width="11.7109375" style="4" customWidth="1"/>
    <col min="22" max="22" width="27.28515625" style="4" bestFit="1" customWidth="1"/>
    <col min="23" max="25" width="11.7109375" style="4" customWidth="1"/>
    <col min="26" max="26" width="21.42578125" style="4" customWidth="1"/>
    <col min="27" max="33" width="11.7109375" style="4" customWidth="1"/>
    <col min="34" max="34" width="17.5703125" style="4" bestFit="1" customWidth="1"/>
    <col min="35" max="35" width="11.7109375" style="4" customWidth="1"/>
    <col min="36" max="36" width="34.140625" style="4" bestFit="1" customWidth="1"/>
    <col min="37" max="37" width="14.7109375" style="4" bestFit="1" customWidth="1"/>
    <col min="38" max="38" width="11.7109375" style="4" customWidth="1"/>
    <col min="39" max="39" width="9.28515625" style="4" customWidth="1"/>
    <col min="40" max="40" width="8.28515625" style="4" bestFit="1" customWidth="1"/>
    <col min="41" max="41" width="7.28515625" style="4" bestFit="1" customWidth="1"/>
    <col min="42" max="43" width="9.28515625" style="4" bestFit="1" customWidth="1"/>
    <col min="44" max="44" width="8.28515625" style="4" bestFit="1" customWidth="1"/>
    <col min="45" max="64" width="9.28515625" style="4" bestFit="1" customWidth="1"/>
    <col min="65" max="65" width="8.5703125" style="4" customWidth="1"/>
    <col min="66" max="16383" width="8.5703125" style="4"/>
    <col min="16384" max="16384" width="8.5703125" style="4" bestFit="1" customWidth="1"/>
  </cols>
  <sheetData>
    <row r="1" spans="1:38" x14ac:dyDescent="0.25">
      <c r="A1" s="1"/>
      <c r="B1" s="2" t="s">
        <v>0</v>
      </c>
      <c r="C1" s="3"/>
      <c r="D1" s="3"/>
      <c r="E1" s="3"/>
      <c r="F1" s="3"/>
      <c r="G1" s="3"/>
      <c r="H1" s="3"/>
      <c r="I1" s="3"/>
      <c r="J1" s="3"/>
      <c r="K1" s="3"/>
      <c r="L1" s="2"/>
      <c r="M1" s="2"/>
      <c r="N1" s="2"/>
      <c r="O1" s="2"/>
      <c r="P1" s="2"/>
      <c r="Q1" s="2"/>
      <c r="R1" s="2"/>
      <c r="S1" s="2"/>
      <c r="T1" s="2"/>
      <c r="U1" s="2"/>
      <c r="V1" s="2"/>
      <c r="W1" s="2"/>
      <c r="X1" s="2"/>
      <c r="Y1" s="2"/>
      <c r="Z1" s="2"/>
      <c r="AA1" s="2"/>
      <c r="AB1" s="2"/>
      <c r="AC1" s="2"/>
      <c r="AD1" s="2"/>
      <c r="AE1" s="2"/>
      <c r="AF1" s="2"/>
      <c r="AG1" s="2"/>
      <c r="AH1" s="2"/>
      <c r="AI1" s="2"/>
      <c r="AJ1" s="2"/>
      <c r="AK1" s="2"/>
      <c r="AL1" s="2"/>
    </row>
    <row r="2" spans="1:38" x14ac:dyDescent="0.25">
      <c r="A2" s="5"/>
      <c r="B2" s="6" t="s">
        <v>1</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x14ac:dyDescent="0.25">
      <c r="A3" s="5"/>
      <c r="B3" s="6" t="s">
        <v>2</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8" x14ac:dyDescent="0.25">
      <c r="A4" s="5"/>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row>
    <row r="5" spans="1:38" ht="34.5" customHeight="1" thickBot="1" x14ac:dyDescent="0.3">
      <c r="A5" s="5"/>
      <c r="B5" s="2"/>
      <c r="C5" s="2"/>
      <c r="D5" s="2"/>
      <c r="E5" s="2"/>
      <c r="F5" s="2"/>
      <c r="G5" s="2"/>
      <c r="H5" s="2"/>
      <c r="I5" s="2"/>
      <c r="J5" s="2"/>
      <c r="K5" s="2"/>
      <c r="L5" s="2"/>
      <c r="M5" s="2"/>
      <c r="N5" s="2"/>
      <c r="O5" s="2"/>
      <c r="P5" s="2"/>
      <c r="Q5" s="2"/>
      <c r="R5" s="2"/>
      <c r="S5" s="2"/>
      <c r="T5" s="2"/>
      <c r="U5" s="7" t="s">
        <v>3</v>
      </c>
      <c r="V5" s="7"/>
      <c r="W5" s="7"/>
      <c r="X5" s="7"/>
      <c r="Y5" s="7"/>
      <c r="Z5" s="7"/>
      <c r="AA5" s="7"/>
      <c r="AB5" s="7"/>
      <c r="AC5" s="7"/>
      <c r="AD5" s="7"/>
      <c r="AE5" s="7"/>
      <c r="AF5" s="7"/>
      <c r="AG5" s="7"/>
      <c r="AH5" s="7"/>
      <c r="AI5" s="7"/>
      <c r="AJ5" s="7"/>
      <c r="AK5" s="7"/>
      <c r="AL5" s="7"/>
    </row>
    <row r="6" spans="1:38" ht="20.25" customHeight="1" thickBot="1" x14ac:dyDescent="0.3">
      <c r="A6" s="8" t="s">
        <v>4</v>
      </c>
      <c r="B6" s="8"/>
      <c r="C6" s="8"/>
      <c r="D6" s="8"/>
      <c r="E6" s="2"/>
      <c r="F6" s="9" t="s">
        <v>5</v>
      </c>
      <c r="G6" s="10"/>
      <c r="H6" s="10"/>
      <c r="I6" s="10"/>
      <c r="J6" s="10"/>
      <c r="K6" s="11"/>
      <c r="L6" s="11"/>
      <c r="M6" s="11"/>
      <c r="N6" s="2"/>
      <c r="O6" s="2"/>
      <c r="P6" s="2"/>
      <c r="Q6" s="2"/>
      <c r="R6" s="2"/>
      <c r="S6" s="2"/>
      <c r="T6" s="2"/>
      <c r="U6" s="7"/>
      <c r="V6" s="7"/>
      <c r="W6" s="7"/>
      <c r="X6" s="7"/>
      <c r="Y6" s="7"/>
      <c r="Z6" s="7"/>
      <c r="AA6" s="7"/>
      <c r="AB6" s="7"/>
      <c r="AC6" s="7"/>
      <c r="AD6" s="7"/>
      <c r="AE6" s="7"/>
      <c r="AF6" s="7"/>
      <c r="AG6" s="7"/>
      <c r="AH6" s="7"/>
      <c r="AI6" s="7"/>
      <c r="AJ6" s="7"/>
      <c r="AK6" s="7"/>
      <c r="AL6" s="7"/>
    </row>
    <row r="7" spans="1:38" ht="20.25" customHeight="1" thickBot="1" x14ac:dyDescent="0.3">
      <c r="A7" s="12" t="s">
        <v>6</v>
      </c>
      <c r="B7" s="13">
        <v>0.41666666666666669</v>
      </c>
      <c r="C7" s="14"/>
      <c r="D7" s="15"/>
      <c r="E7" s="2"/>
      <c r="F7" s="16"/>
      <c r="G7" s="17"/>
      <c r="H7" s="17"/>
      <c r="I7" s="18"/>
      <c r="J7" s="19"/>
      <c r="K7" s="20" t="s">
        <v>7</v>
      </c>
      <c r="L7" s="20" t="s">
        <v>8</v>
      </c>
      <c r="M7" s="20" t="s">
        <v>9</v>
      </c>
      <c r="N7" s="2" t="s">
        <v>10</v>
      </c>
      <c r="O7" s="2"/>
      <c r="P7" s="2"/>
      <c r="Q7" s="2"/>
      <c r="R7" s="2"/>
      <c r="S7" s="2"/>
      <c r="T7" s="2"/>
      <c r="U7" s="7"/>
      <c r="V7" s="7"/>
      <c r="W7" s="7"/>
      <c r="X7" s="7"/>
      <c r="Y7" s="7"/>
      <c r="Z7" s="7"/>
      <c r="AA7" s="7"/>
      <c r="AB7" s="7"/>
      <c r="AC7" s="7"/>
      <c r="AD7" s="7"/>
      <c r="AE7" s="7"/>
      <c r="AF7" s="7"/>
      <c r="AG7" s="7"/>
      <c r="AH7" s="7"/>
      <c r="AI7" s="7"/>
      <c r="AJ7" s="7"/>
      <c r="AK7" s="7"/>
      <c r="AL7" s="7"/>
    </row>
    <row r="8" spans="1:38" ht="20.25" customHeight="1" thickBot="1" x14ac:dyDescent="0.3">
      <c r="A8" s="21" t="s">
        <v>11</v>
      </c>
      <c r="B8" s="22" t="s">
        <v>12</v>
      </c>
      <c r="C8" s="14" t="s">
        <v>13</v>
      </c>
      <c r="D8" s="15">
        <f>D10*B11*8.34*10000</f>
        <v>392.09542560000011</v>
      </c>
      <c r="E8" s="2"/>
      <c r="F8" s="23" t="s">
        <v>6</v>
      </c>
      <c r="G8" s="24">
        <f>B7</f>
        <v>0.41666666666666669</v>
      </c>
      <c r="H8" s="23"/>
      <c r="I8" s="23"/>
      <c r="J8" s="25"/>
      <c r="K8" s="26" t="s">
        <v>14</v>
      </c>
      <c r="L8" s="26"/>
      <c r="M8" s="26"/>
      <c r="N8" s="2" t="s">
        <v>15</v>
      </c>
      <c r="O8" s="2"/>
      <c r="P8" s="2"/>
      <c r="Q8" s="2"/>
      <c r="R8" s="2"/>
      <c r="S8" s="2"/>
      <c r="T8" s="2"/>
      <c r="U8" s="27"/>
      <c r="V8" s="27"/>
      <c r="W8" s="27"/>
      <c r="X8" s="27"/>
      <c r="Y8" s="27"/>
      <c r="Z8" s="27"/>
      <c r="AA8" s="27"/>
      <c r="AB8" s="27"/>
      <c r="AC8" s="27"/>
      <c r="AD8" s="27"/>
      <c r="AE8" s="27"/>
      <c r="AF8" s="27"/>
      <c r="AG8" s="27"/>
      <c r="AH8" s="27"/>
      <c r="AI8" s="27"/>
      <c r="AJ8" s="27"/>
      <c r="AK8" s="27"/>
      <c r="AL8" s="27"/>
    </row>
    <row r="9" spans="1:38" ht="20.25" customHeight="1" thickBot="1" x14ac:dyDescent="0.3">
      <c r="A9" s="12" t="s">
        <v>16</v>
      </c>
      <c r="B9" s="22">
        <v>0.16700000000000001</v>
      </c>
      <c r="C9" s="28" t="s">
        <v>17</v>
      </c>
      <c r="D9" s="29">
        <f>B9*B10</f>
        <v>13.059400000000002</v>
      </c>
      <c r="E9" s="2"/>
      <c r="F9" s="23"/>
      <c r="G9" s="30" t="s">
        <v>18</v>
      </c>
      <c r="H9" s="30" t="s">
        <v>19</v>
      </c>
      <c r="I9" s="30" t="s">
        <v>20</v>
      </c>
      <c r="J9" s="31" t="s">
        <v>21</v>
      </c>
      <c r="K9" s="26" t="s">
        <v>22</v>
      </c>
      <c r="L9" s="26">
        <v>1</v>
      </c>
      <c r="M9" s="26"/>
      <c r="N9" s="2"/>
      <c r="O9" s="2"/>
      <c r="P9" s="2"/>
      <c r="Q9" s="2"/>
      <c r="R9" s="2"/>
      <c r="S9" s="2"/>
      <c r="T9" s="2"/>
      <c r="U9" s="27"/>
      <c r="V9" s="27"/>
      <c r="W9" s="27"/>
      <c r="X9" s="27"/>
      <c r="Y9" s="27"/>
      <c r="Z9" s="27"/>
      <c r="AA9" s="27"/>
      <c r="AB9" s="27"/>
      <c r="AC9" s="27"/>
      <c r="AD9" s="27"/>
      <c r="AE9" s="27"/>
      <c r="AF9" s="27"/>
      <c r="AG9" s="27"/>
      <c r="AH9" s="27"/>
      <c r="AI9" s="27"/>
      <c r="AJ9" s="27"/>
      <c r="AK9" s="27"/>
      <c r="AL9" s="27"/>
    </row>
    <row r="10" spans="1:38" ht="20.25" customHeight="1" thickBot="1" x14ac:dyDescent="0.3">
      <c r="A10" s="12" t="s">
        <v>23</v>
      </c>
      <c r="B10" s="32">
        <v>78.2</v>
      </c>
      <c r="C10" s="28" t="s">
        <v>24</v>
      </c>
      <c r="D10" s="29">
        <f>D9*1440/1000000</f>
        <v>1.8805536000000005E-2</v>
      </c>
      <c r="E10" s="2"/>
      <c r="F10" s="23" t="s">
        <v>25</v>
      </c>
      <c r="G10" s="33" t="s">
        <v>26</v>
      </c>
      <c r="H10" s="34">
        <f>B13</f>
        <v>3.5</v>
      </c>
      <c r="I10" s="34"/>
      <c r="J10" s="35"/>
      <c r="K10" s="26" t="s">
        <v>27</v>
      </c>
      <c r="L10" s="26">
        <v>1</v>
      </c>
      <c r="M10" s="26"/>
      <c r="N10" s="2"/>
      <c r="O10" s="2"/>
      <c r="P10" s="2"/>
      <c r="Q10" s="2"/>
      <c r="R10" s="2"/>
      <c r="S10" s="2"/>
      <c r="T10" s="2"/>
      <c r="U10" s="27"/>
      <c r="V10" s="36" t="s">
        <v>28</v>
      </c>
      <c r="W10" s="36"/>
      <c r="X10" s="36"/>
      <c r="Y10" s="27"/>
      <c r="Z10" s="27"/>
      <c r="AA10" s="27"/>
      <c r="AB10" s="27"/>
      <c r="AC10" s="27"/>
      <c r="AD10" s="27"/>
      <c r="AE10" s="27"/>
      <c r="AF10" s="27"/>
      <c r="AG10" s="27"/>
      <c r="AH10" s="27"/>
      <c r="AI10" s="36" t="s">
        <v>29</v>
      </c>
      <c r="AJ10" s="36"/>
      <c r="AK10" s="36"/>
      <c r="AL10" s="27"/>
    </row>
    <row r="11" spans="1:38" ht="20.25" customHeight="1" thickBot="1" x14ac:dyDescent="0.3">
      <c r="A11" s="12" t="s">
        <v>30</v>
      </c>
      <c r="B11" s="37">
        <v>0.25</v>
      </c>
      <c r="C11" s="28" t="s">
        <v>31</v>
      </c>
      <c r="D11" s="29">
        <f>B10*1440/1000000</f>
        <v>0.112608</v>
      </c>
      <c r="E11" s="2"/>
      <c r="F11" s="23" t="s">
        <v>32</v>
      </c>
      <c r="G11" s="33" t="s">
        <v>33</v>
      </c>
      <c r="H11" s="38">
        <f>B9</f>
        <v>0.16700000000000001</v>
      </c>
      <c r="I11" s="38">
        <f>B9</f>
        <v>0.16700000000000001</v>
      </c>
      <c r="J11" s="39">
        <f>B9</f>
        <v>0.16700000000000001</v>
      </c>
      <c r="K11" s="26" t="s">
        <v>34</v>
      </c>
      <c r="L11" s="26">
        <v>0</v>
      </c>
      <c r="M11" s="26"/>
      <c r="N11" s="2"/>
      <c r="O11" s="2"/>
      <c r="P11" s="2"/>
      <c r="Q11" s="2"/>
      <c r="R11" s="2"/>
      <c r="S11" s="2"/>
      <c r="T11" s="2"/>
      <c r="U11" s="27"/>
      <c r="V11" s="36"/>
      <c r="W11" s="36"/>
      <c r="X11" s="36"/>
      <c r="Y11" s="27"/>
      <c r="Z11" s="27"/>
      <c r="AA11" s="27"/>
      <c r="AB11" s="27"/>
      <c r="AC11" s="27"/>
      <c r="AD11" s="27"/>
      <c r="AE11" s="27"/>
      <c r="AF11" s="27"/>
      <c r="AG11" s="27"/>
      <c r="AH11" s="27"/>
      <c r="AI11" s="36"/>
      <c r="AJ11" s="36"/>
      <c r="AK11" s="36"/>
      <c r="AL11" s="27"/>
    </row>
    <row r="12" spans="1:38" ht="20.25" customHeight="1" thickBot="1" x14ac:dyDescent="0.35">
      <c r="A12" s="12" t="s">
        <v>35</v>
      </c>
      <c r="B12" s="40">
        <v>5.55</v>
      </c>
      <c r="C12" s="28" t="s">
        <v>36</v>
      </c>
      <c r="D12" s="29">
        <f>(B12/(1+(B15/B14)))</f>
        <v>3.6195652173913047</v>
      </c>
      <c r="E12" s="2"/>
      <c r="F12" s="23" t="s">
        <v>37</v>
      </c>
      <c r="G12" s="33" t="s">
        <v>38</v>
      </c>
      <c r="H12" s="41">
        <f>D15</f>
        <v>23.857142857142858</v>
      </c>
      <c r="I12" s="42">
        <f>Y98</f>
        <v>15.222486798375112</v>
      </c>
      <c r="J12" s="43">
        <f>AN98</f>
        <v>15.222486798375112</v>
      </c>
      <c r="K12" s="26" t="s">
        <v>39</v>
      </c>
      <c r="L12" s="26">
        <v>0</v>
      </c>
      <c r="M12" s="26"/>
      <c r="N12" s="2"/>
      <c r="O12" s="2"/>
      <c r="P12" s="2"/>
      <c r="Q12" s="2"/>
      <c r="R12" s="2"/>
      <c r="S12" s="2"/>
      <c r="T12" s="2"/>
      <c r="U12" s="27"/>
      <c r="V12" s="44"/>
      <c r="W12" s="45"/>
      <c r="X12" s="46"/>
      <c r="Y12" s="27"/>
      <c r="Z12" s="27"/>
      <c r="AA12" s="27"/>
      <c r="AB12" s="27"/>
      <c r="AC12" s="27"/>
      <c r="AD12" s="27"/>
      <c r="AE12" s="27"/>
      <c r="AF12" s="27"/>
      <c r="AG12" s="27"/>
      <c r="AH12" s="27"/>
      <c r="AI12" s="47"/>
      <c r="AJ12" s="48" t="s">
        <v>25</v>
      </c>
      <c r="AK12" s="49" t="s">
        <v>40</v>
      </c>
      <c r="AL12" s="27"/>
    </row>
    <row r="13" spans="1:38" ht="20.25" customHeight="1" thickBot="1" x14ac:dyDescent="0.35">
      <c r="A13" s="12" t="s">
        <v>41</v>
      </c>
      <c r="B13" s="50">
        <v>3.5</v>
      </c>
      <c r="C13" s="28" t="s">
        <v>42</v>
      </c>
      <c r="D13" s="29">
        <f>D11*D12*8.34*(10000/2000)</f>
        <v>16.996586399999998</v>
      </c>
      <c r="E13" s="2"/>
      <c r="F13" s="23" t="s">
        <v>43</v>
      </c>
      <c r="G13" s="33" t="s">
        <v>26</v>
      </c>
      <c r="H13" s="34">
        <f>AT98</f>
        <v>30.479344316278553</v>
      </c>
      <c r="I13" s="42">
        <f>Z98</f>
        <v>32.550794685362057</v>
      </c>
      <c r="J13" s="43">
        <f>AO98</f>
        <v>32.550794685362057</v>
      </c>
      <c r="K13" s="26"/>
      <c r="L13" s="26"/>
      <c r="M13" s="26"/>
      <c r="N13" s="2"/>
      <c r="O13" s="2"/>
      <c r="P13" s="2"/>
      <c r="Q13" s="2"/>
      <c r="R13" s="2"/>
      <c r="S13" s="2"/>
      <c r="T13" s="2"/>
      <c r="U13" s="27"/>
      <c r="V13" s="51" t="s">
        <v>44</v>
      </c>
      <c r="W13" s="51"/>
      <c r="X13" s="52">
        <f>B7</f>
        <v>0.41666666666666669</v>
      </c>
      <c r="Y13" s="27"/>
      <c r="Z13" s="27"/>
      <c r="AA13" s="27"/>
      <c r="AB13" s="27"/>
      <c r="AC13" s="27"/>
      <c r="AD13" s="27"/>
      <c r="AE13" s="27"/>
      <c r="AF13" s="27"/>
      <c r="AG13" s="27"/>
      <c r="AH13" s="27"/>
      <c r="AI13" s="53" t="s">
        <v>45</v>
      </c>
      <c r="AJ13" s="54" t="s">
        <v>46</v>
      </c>
      <c r="AK13" s="55" t="s">
        <v>47</v>
      </c>
      <c r="AL13" s="27"/>
    </row>
    <row r="14" spans="1:38" ht="20.25" customHeight="1" thickBot="1" x14ac:dyDescent="0.35">
      <c r="A14" s="12" t="s">
        <v>48</v>
      </c>
      <c r="B14" s="56">
        <v>270</v>
      </c>
      <c r="C14" s="28" t="s">
        <v>49</v>
      </c>
      <c r="D14" s="29">
        <f>D8/D13</f>
        <v>23.069069069069077</v>
      </c>
      <c r="E14" s="2"/>
      <c r="F14" s="23" t="s">
        <v>50</v>
      </c>
      <c r="G14" s="33" t="s">
        <v>47</v>
      </c>
      <c r="H14" s="34">
        <f>AU98</f>
        <v>375.00000000000313</v>
      </c>
      <c r="I14" s="42">
        <f>AA98</f>
        <v>675.00000000000341</v>
      </c>
      <c r="J14" s="43">
        <f>AP98</f>
        <v>675.00000000000341</v>
      </c>
      <c r="K14" s="26"/>
      <c r="L14" s="26"/>
      <c r="M14" s="26"/>
      <c r="N14" s="2"/>
      <c r="O14" s="2"/>
      <c r="P14" s="2"/>
      <c r="Q14" s="2"/>
      <c r="R14" s="2"/>
      <c r="S14" s="2"/>
      <c r="T14" s="2"/>
      <c r="U14" s="57"/>
      <c r="V14" s="58" t="s">
        <v>51</v>
      </c>
      <c r="W14" s="58"/>
      <c r="X14" s="59" t="s">
        <v>14</v>
      </c>
      <c r="Y14" s="27"/>
      <c r="Z14" s="27"/>
      <c r="AA14" s="27"/>
      <c r="AB14" s="27"/>
      <c r="AC14" s="27"/>
      <c r="AD14" s="27"/>
      <c r="AE14" s="27"/>
      <c r="AF14" s="27"/>
      <c r="AG14" s="27"/>
      <c r="AH14" s="27"/>
      <c r="AI14" s="60"/>
      <c r="AJ14" s="61" t="s">
        <v>52</v>
      </c>
      <c r="AK14" s="62" t="s">
        <v>53</v>
      </c>
      <c r="AL14" s="27"/>
    </row>
    <row r="15" spans="1:38" ht="20.25" customHeight="1" thickBot="1" x14ac:dyDescent="0.45">
      <c r="A15" s="63" t="s">
        <v>54</v>
      </c>
      <c r="B15" s="64">
        <v>144</v>
      </c>
      <c r="C15" s="65" t="s">
        <v>55</v>
      </c>
      <c r="D15" s="66">
        <f>((B9*B11)/B13)*2000</f>
        <v>23.857142857142858</v>
      </c>
      <c r="E15" s="2"/>
      <c r="F15" s="2"/>
      <c r="G15" s="2"/>
      <c r="H15" s="2"/>
      <c r="I15" s="2"/>
      <c r="J15" s="2"/>
      <c r="K15" s="2"/>
      <c r="L15" s="2"/>
      <c r="M15" s="2"/>
      <c r="N15" s="2"/>
      <c r="O15" s="2"/>
      <c r="P15" s="2"/>
      <c r="Q15" s="2"/>
      <c r="R15" s="2"/>
      <c r="S15" s="2"/>
      <c r="T15" s="2"/>
      <c r="U15" s="27"/>
      <c r="V15" s="27"/>
      <c r="W15" s="27"/>
      <c r="X15" s="57"/>
      <c r="Y15" s="57"/>
      <c r="Z15" s="57"/>
      <c r="AA15" s="27"/>
      <c r="AB15" s="27"/>
      <c r="AC15" s="27"/>
      <c r="AD15" s="27"/>
      <c r="AE15" s="27"/>
      <c r="AF15" s="27"/>
      <c r="AG15" s="27"/>
      <c r="AH15" s="27"/>
      <c r="AI15" s="27"/>
      <c r="AJ15" s="27"/>
      <c r="AK15" s="27"/>
      <c r="AL15" s="27"/>
    </row>
    <row r="16" spans="1:38" ht="18" customHeight="1" thickBot="1" x14ac:dyDescent="0.35">
      <c r="A16" s="67"/>
      <c r="B16" s="67"/>
      <c r="C16" s="2"/>
      <c r="D16" s="2"/>
      <c r="E16" s="2"/>
      <c r="F16" s="2"/>
      <c r="G16" s="2"/>
      <c r="H16" s="2"/>
      <c r="I16" s="2"/>
      <c r="J16" s="2"/>
      <c r="K16" s="2"/>
      <c r="L16" s="2"/>
      <c r="M16" s="2"/>
      <c r="N16" s="2"/>
      <c r="O16" s="2"/>
      <c r="P16" s="2"/>
      <c r="Q16" s="2"/>
      <c r="R16" s="2"/>
      <c r="S16" s="2"/>
      <c r="T16" s="2"/>
      <c r="U16" s="27"/>
      <c r="V16" s="27"/>
      <c r="W16" s="27"/>
      <c r="X16" s="57"/>
      <c r="Y16" s="57"/>
      <c r="Z16" s="27"/>
      <c r="AA16" s="27"/>
      <c r="AB16" s="27"/>
      <c r="AC16" s="27"/>
      <c r="AD16" s="27"/>
      <c r="AE16" s="27"/>
      <c r="AF16" s="68" t="s">
        <v>5</v>
      </c>
      <c r="AG16" s="68"/>
      <c r="AH16" s="68"/>
      <c r="AI16" s="68"/>
      <c r="AJ16" s="68"/>
      <c r="AK16" s="68"/>
      <c r="AL16" s="27"/>
    </row>
    <row r="17" spans="1:37" ht="16.5" customHeight="1" outlineLevel="2" thickBot="1" x14ac:dyDescent="0.35">
      <c r="A17" s="69" t="s">
        <v>56</v>
      </c>
      <c r="B17" s="69"/>
      <c r="C17" s="69"/>
      <c r="D17" s="2"/>
      <c r="E17" s="2"/>
      <c r="F17" s="2"/>
      <c r="G17" s="2"/>
      <c r="H17" s="2"/>
      <c r="I17" s="2"/>
      <c r="J17" s="2"/>
      <c r="K17" s="2"/>
      <c r="L17" s="2"/>
      <c r="M17" s="2"/>
      <c r="N17" s="2"/>
      <c r="O17" s="2"/>
      <c r="P17" s="2"/>
      <c r="Q17" s="2"/>
      <c r="R17" s="2"/>
      <c r="S17" s="2"/>
      <c r="T17" s="2"/>
      <c r="U17" s="27"/>
      <c r="V17" s="27"/>
      <c r="W17" s="27"/>
      <c r="X17" s="57"/>
      <c r="Y17" s="57"/>
      <c r="Z17" s="27"/>
      <c r="AA17" s="27"/>
      <c r="AB17" s="27"/>
      <c r="AC17" s="27"/>
      <c r="AD17" s="27"/>
      <c r="AE17" s="27"/>
      <c r="AF17" s="68"/>
      <c r="AG17" s="68"/>
      <c r="AH17" s="68"/>
      <c r="AI17" s="68"/>
      <c r="AJ17" s="68"/>
      <c r="AK17" s="68"/>
    </row>
    <row r="18" spans="1:37" ht="19.5" outlineLevel="2" thickBot="1" x14ac:dyDescent="0.35">
      <c r="A18" s="70"/>
      <c r="B18" s="14"/>
      <c r="C18" s="71"/>
      <c r="D18" s="2"/>
      <c r="E18" s="2"/>
      <c r="F18" s="2"/>
      <c r="G18" s="2"/>
      <c r="H18" s="2"/>
      <c r="I18" s="2"/>
      <c r="J18" s="2"/>
      <c r="K18" s="2"/>
      <c r="L18" s="2"/>
      <c r="M18" s="2"/>
      <c r="N18" s="2"/>
      <c r="O18" s="2"/>
      <c r="P18" s="2"/>
      <c r="Q18" s="2"/>
      <c r="R18" s="2"/>
      <c r="S18" s="2"/>
      <c r="T18" s="2"/>
      <c r="U18" s="27"/>
      <c r="V18" s="27"/>
      <c r="W18" s="27"/>
      <c r="X18" s="57"/>
      <c r="Y18" s="57"/>
      <c r="Z18" s="27"/>
      <c r="AA18" s="27"/>
      <c r="AB18" s="27"/>
      <c r="AC18" s="27"/>
      <c r="AD18" s="27"/>
      <c r="AE18" s="27"/>
      <c r="AF18" s="72" t="s">
        <v>57</v>
      </c>
      <c r="AG18" s="72"/>
      <c r="AH18" s="73"/>
      <c r="AI18" s="74"/>
      <c r="AJ18" s="75" t="s">
        <v>58</v>
      </c>
      <c r="AK18" s="76"/>
    </row>
    <row r="19" spans="1:37" ht="19.5" outlineLevel="2" thickBot="1" x14ac:dyDescent="0.35">
      <c r="A19" s="77" t="s">
        <v>59</v>
      </c>
      <c r="B19" s="78">
        <v>2.2046226218487759E-3</v>
      </c>
      <c r="C19" s="79" t="s">
        <v>60</v>
      </c>
      <c r="D19" s="2"/>
      <c r="E19" s="2"/>
      <c r="F19" s="2"/>
      <c r="G19" s="2"/>
      <c r="H19" s="2"/>
      <c r="I19" s="2"/>
      <c r="J19" s="2"/>
      <c r="K19" s="2"/>
      <c r="L19" s="2"/>
      <c r="M19" s="2"/>
      <c r="N19" s="2"/>
      <c r="O19" s="2"/>
      <c r="P19" s="2"/>
      <c r="Q19" s="2"/>
      <c r="R19" s="2"/>
      <c r="S19" s="2"/>
      <c r="T19" s="2"/>
      <c r="U19" s="57"/>
      <c r="V19" s="57"/>
      <c r="W19" s="57"/>
      <c r="X19" s="57"/>
      <c r="Y19" s="57"/>
      <c r="Z19" s="27"/>
      <c r="AA19" s="27"/>
      <c r="AB19" s="27"/>
      <c r="AC19" s="27"/>
      <c r="AD19" s="27"/>
      <c r="AE19" s="27"/>
      <c r="AF19" s="72"/>
      <c r="AG19" s="72"/>
      <c r="AH19" s="80" t="s">
        <v>18</v>
      </c>
      <c r="AI19" s="81" t="s">
        <v>19</v>
      </c>
      <c r="AJ19" s="81" t="s">
        <v>20</v>
      </c>
      <c r="AK19" s="82" t="s">
        <v>21</v>
      </c>
    </row>
    <row r="20" spans="1:37" ht="18.75" outlineLevel="2" x14ac:dyDescent="0.3">
      <c r="A20" s="77" t="s">
        <v>59</v>
      </c>
      <c r="B20" s="78">
        <v>1.1023109950010101E-6</v>
      </c>
      <c r="C20" s="79" t="s">
        <v>61</v>
      </c>
      <c r="D20" s="2"/>
      <c r="E20" s="2"/>
      <c r="F20" s="2"/>
      <c r="G20" s="2"/>
      <c r="H20" s="2"/>
      <c r="I20" s="2"/>
      <c r="J20" s="2"/>
      <c r="K20" s="2"/>
      <c r="L20" s="2"/>
      <c r="M20" s="2"/>
      <c r="N20" s="2"/>
      <c r="O20" s="2"/>
      <c r="P20" s="2"/>
      <c r="Q20" s="2"/>
      <c r="R20" s="2"/>
      <c r="S20" s="2"/>
      <c r="T20" s="2"/>
      <c r="U20" s="57"/>
      <c r="V20" s="57"/>
      <c r="W20" s="57"/>
      <c r="X20" s="57"/>
      <c r="Y20" s="57"/>
      <c r="Z20" s="27"/>
      <c r="AA20" s="27"/>
      <c r="AB20" s="27"/>
      <c r="AC20" s="27"/>
      <c r="AD20" s="27"/>
      <c r="AE20" s="27"/>
      <c r="AF20" s="72"/>
      <c r="AG20" s="72"/>
      <c r="AH20" s="80"/>
      <c r="AI20" s="81"/>
      <c r="AJ20" s="81"/>
      <c r="AK20" s="82"/>
    </row>
    <row r="21" spans="1:37" ht="18.75" outlineLevel="2" x14ac:dyDescent="0.3">
      <c r="A21" s="77" t="s">
        <v>62</v>
      </c>
      <c r="B21" s="78">
        <v>3.95</v>
      </c>
      <c r="C21" s="79" t="s">
        <v>63</v>
      </c>
      <c r="D21" s="2"/>
      <c r="E21" s="2"/>
      <c r="F21" s="2"/>
      <c r="G21" s="2"/>
      <c r="H21" s="2"/>
      <c r="I21" s="2"/>
      <c r="J21" s="2"/>
      <c r="K21" s="2"/>
      <c r="L21" s="2"/>
      <c r="M21" s="2"/>
      <c r="N21" s="2"/>
      <c r="O21" s="2"/>
      <c r="P21" s="2"/>
      <c r="Q21" s="2"/>
      <c r="R21" s="2"/>
      <c r="S21" s="2"/>
      <c r="T21" s="2"/>
      <c r="U21" s="57"/>
      <c r="V21" s="57"/>
      <c r="W21" s="57"/>
      <c r="X21" s="57"/>
      <c r="Y21" s="57"/>
      <c r="Z21" s="27"/>
      <c r="AA21" s="27"/>
      <c r="AB21" s="27"/>
      <c r="AC21" s="27"/>
      <c r="AD21" s="27"/>
      <c r="AE21" s="27"/>
      <c r="AF21" s="83" t="s">
        <v>25</v>
      </c>
      <c r="AG21" s="83"/>
      <c r="AH21" s="84" t="s">
        <v>26</v>
      </c>
      <c r="AI21" s="85">
        <f>H10</f>
        <v>3.5</v>
      </c>
      <c r="AJ21" s="86"/>
      <c r="AK21" s="87"/>
    </row>
    <row r="22" spans="1:37" ht="18.75" outlineLevel="2" x14ac:dyDescent="0.3">
      <c r="A22" s="77" t="s">
        <v>64</v>
      </c>
      <c r="B22" s="88">
        <f>((3.95/2)*0.0254)^2 * PI()</f>
        <v>7.9059034426187096E-3</v>
      </c>
      <c r="C22" s="79" t="s">
        <v>65</v>
      </c>
      <c r="D22" s="2"/>
      <c r="E22" s="2"/>
      <c r="F22" s="2"/>
      <c r="G22" s="2"/>
      <c r="H22" s="2"/>
      <c r="I22" s="2"/>
      <c r="J22" s="2"/>
      <c r="K22" s="2"/>
      <c r="L22" s="2"/>
      <c r="M22" s="2"/>
      <c r="N22" s="2"/>
      <c r="O22" s="2"/>
      <c r="P22" s="2"/>
      <c r="Q22" s="2"/>
      <c r="R22" s="2"/>
      <c r="S22" s="2"/>
      <c r="T22" s="2"/>
      <c r="U22" s="57"/>
      <c r="V22" s="57"/>
      <c r="W22" s="57"/>
      <c r="X22" s="57"/>
      <c r="Y22" s="57"/>
      <c r="Z22" s="27"/>
      <c r="AA22" s="27"/>
      <c r="AB22" s="27"/>
      <c r="AC22" s="27"/>
      <c r="AD22" s="27"/>
      <c r="AE22" s="27"/>
      <c r="AF22" s="83" t="s">
        <v>32</v>
      </c>
      <c r="AG22" s="83"/>
      <c r="AH22" s="84" t="s">
        <v>66</v>
      </c>
      <c r="AI22" s="89">
        <f>H11</f>
        <v>0.16700000000000001</v>
      </c>
      <c r="AJ22" s="89"/>
      <c r="AK22" s="90"/>
    </row>
    <row r="23" spans="1:37" ht="18.75" outlineLevel="2" x14ac:dyDescent="0.3">
      <c r="A23" s="91" t="s">
        <v>67</v>
      </c>
      <c r="B23" s="91"/>
      <c r="C23" s="91"/>
      <c r="D23" s="2"/>
      <c r="E23" s="2"/>
      <c r="F23" s="2"/>
      <c r="G23" s="2"/>
      <c r="H23" s="2"/>
      <c r="I23" s="2"/>
      <c r="J23" s="2"/>
      <c r="K23" s="2"/>
      <c r="L23" s="2"/>
      <c r="M23" s="2"/>
      <c r="N23" s="2"/>
      <c r="O23" s="2"/>
      <c r="P23" s="2"/>
      <c r="Q23" s="2"/>
      <c r="R23" s="2"/>
      <c r="S23" s="2"/>
      <c r="T23" s="2"/>
      <c r="U23" s="57"/>
      <c r="V23" s="57"/>
      <c r="W23" s="57"/>
      <c r="X23" s="57"/>
      <c r="Y23" s="57"/>
      <c r="Z23" s="27"/>
      <c r="AA23" s="27"/>
      <c r="AB23" s="27"/>
      <c r="AC23" s="27"/>
      <c r="AD23" s="27"/>
      <c r="AE23" s="27"/>
      <c r="AF23" s="83" t="s">
        <v>37</v>
      </c>
      <c r="AG23" s="83"/>
      <c r="AH23" s="84" t="s">
        <v>38</v>
      </c>
      <c r="AI23" s="92">
        <f>H12</f>
        <v>23.857142857142858</v>
      </c>
      <c r="AJ23" s="92">
        <f>I12</f>
        <v>15.222486798375112</v>
      </c>
      <c r="AK23" s="93">
        <f>J12</f>
        <v>15.222486798375112</v>
      </c>
    </row>
    <row r="24" spans="1:37" ht="18.75" outlineLevel="2" x14ac:dyDescent="0.3">
      <c r="A24" s="77" t="s">
        <v>68</v>
      </c>
      <c r="B24" s="94">
        <f>B22*0.8*1000</f>
        <v>6.3247227540949682</v>
      </c>
      <c r="C24" s="79" t="s">
        <v>69</v>
      </c>
      <c r="D24" s="2"/>
      <c r="E24" s="2"/>
      <c r="F24" s="2"/>
      <c r="G24" s="2"/>
      <c r="H24" s="2"/>
      <c r="I24" s="2"/>
      <c r="J24" s="2"/>
      <c r="K24" s="2"/>
      <c r="L24" s="2"/>
      <c r="M24" s="2"/>
      <c r="N24" s="2"/>
      <c r="O24" s="2"/>
      <c r="P24" s="2"/>
      <c r="Q24" s="2"/>
      <c r="R24" s="2"/>
      <c r="S24" s="2"/>
      <c r="T24" s="2"/>
      <c r="U24" s="57"/>
      <c r="V24" s="57"/>
      <c r="W24" s="57"/>
      <c r="X24" s="57"/>
      <c r="Y24" s="57"/>
      <c r="Z24" s="27"/>
      <c r="AA24" s="27"/>
      <c r="AB24" s="27"/>
      <c r="AC24" s="27"/>
      <c r="AD24" s="27"/>
      <c r="AE24" s="27"/>
      <c r="AF24" s="83" t="s">
        <v>43</v>
      </c>
      <c r="AG24" s="83"/>
      <c r="AH24" s="84" t="s">
        <v>26</v>
      </c>
      <c r="AI24" s="86">
        <f>H13</f>
        <v>30.479344316278553</v>
      </c>
      <c r="AJ24" s="95">
        <f t="shared" ref="AJ24:AK25" si="0">I13</f>
        <v>32.550794685362057</v>
      </c>
      <c r="AK24" s="96">
        <f t="shared" si="0"/>
        <v>32.550794685362057</v>
      </c>
    </row>
    <row r="25" spans="1:37" ht="16.5" customHeight="1" outlineLevel="2" thickBot="1" x14ac:dyDescent="0.35">
      <c r="A25" s="77" t="s">
        <v>70</v>
      </c>
      <c r="B25" s="94">
        <v>3.5</v>
      </c>
      <c r="C25" s="79" t="s">
        <v>71</v>
      </c>
      <c r="D25" s="2"/>
      <c r="E25" s="2"/>
      <c r="F25" s="2"/>
      <c r="G25" s="2"/>
      <c r="H25" s="2"/>
      <c r="I25" s="2"/>
      <c r="J25" s="2"/>
      <c r="K25" s="2"/>
      <c r="L25" s="2"/>
      <c r="M25" s="2"/>
      <c r="N25" s="2"/>
      <c r="O25" s="2"/>
      <c r="P25" s="2"/>
      <c r="Q25" s="2"/>
      <c r="R25" s="2"/>
      <c r="S25" s="2"/>
      <c r="T25" s="2"/>
      <c r="U25" s="57"/>
      <c r="V25" s="57"/>
      <c r="W25" s="57"/>
      <c r="X25" s="57"/>
      <c r="Y25" s="57"/>
      <c r="Z25" s="27"/>
      <c r="AA25" s="27"/>
      <c r="AB25" s="27"/>
      <c r="AC25" s="27"/>
      <c r="AD25" s="27"/>
      <c r="AE25" s="27"/>
      <c r="AF25" s="97" t="s">
        <v>50</v>
      </c>
      <c r="AG25" s="97"/>
      <c r="AH25" s="98" t="s">
        <v>47</v>
      </c>
      <c r="AI25" s="99">
        <f>H14</f>
        <v>375.00000000000313</v>
      </c>
      <c r="AJ25" s="99">
        <f t="shared" si="0"/>
        <v>675.00000000000341</v>
      </c>
      <c r="AK25" s="100">
        <f t="shared" si="0"/>
        <v>675.00000000000341</v>
      </c>
    </row>
    <row r="26" spans="1:37" ht="16.5" customHeight="1" outlineLevel="2" x14ac:dyDescent="0.25">
      <c r="A26" s="91" t="s">
        <v>72</v>
      </c>
      <c r="B26" s="91"/>
      <c r="C26" s="91"/>
      <c r="D26" s="2"/>
      <c r="E26" s="2"/>
      <c r="F26" s="2"/>
      <c r="G26" s="2"/>
      <c r="H26" s="2"/>
      <c r="I26" s="2"/>
      <c r="J26" s="2"/>
      <c r="K26" s="2"/>
      <c r="L26" s="2"/>
      <c r="M26" s="2"/>
      <c r="N26" s="2"/>
      <c r="O26" s="2"/>
      <c r="P26" s="2"/>
      <c r="Q26" s="2"/>
      <c r="R26" s="2"/>
      <c r="S26" s="2"/>
      <c r="T26" s="2"/>
      <c r="U26" s="27"/>
      <c r="V26" s="27"/>
      <c r="W26" s="27"/>
      <c r="X26" s="27"/>
      <c r="Y26" s="27"/>
      <c r="Z26" s="27"/>
      <c r="AA26" s="27"/>
      <c r="AB26" s="27"/>
      <c r="AC26" s="27"/>
      <c r="AD26" s="27"/>
      <c r="AE26" s="27"/>
      <c r="AF26" s="27"/>
      <c r="AG26" s="27"/>
      <c r="AH26" s="27"/>
      <c r="AI26" s="27"/>
      <c r="AJ26" s="27"/>
      <c r="AK26" s="27"/>
    </row>
    <row r="27" spans="1:37" outlineLevel="2" x14ac:dyDescent="0.25">
      <c r="A27" s="77" t="s">
        <v>73</v>
      </c>
      <c r="B27" s="94">
        <v>0.25</v>
      </c>
      <c r="C27" s="79"/>
      <c r="D27" s="2"/>
      <c r="E27" s="2"/>
      <c r="F27" s="2"/>
      <c r="G27" s="2"/>
      <c r="H27" s="2"/>
      <c r="I27" s="2"/>
      <c r="J27" s="2"/>
      <c r="K27" s="2"/>
      <c r="L27" s="2"/>
      <c r="M27" s="2"/>
      <c r="N27" s="2"/>
      <c r="O27" s="2"/>
      <c r="P27" s="2"/>
      <c r="Q27" s="2"/>
      <c r="R27" s="2"/>
      <c r="S27" s="2"/>
      <c r="T27" s="2"/>
      <c r="U27" s="27"/>
      <c r="V27" s="27"/>
      <c r="W27" s="27"/>
      <c r="X27" s="27"/>
      <c r="Y27" s="27"/>
      <c r="Z27" s="27"/>
      <c r="AA27" s="27"/>
      <c r="AB27" s="27"/>
      <c r="AC27" s="27"/>
      <c r="AD27" s="27"/>
      <c r="AE27" s="27"/>
      <c r="AF27" s="27"/>
      <c r="AG27" s="27"/>
      <c r="AH27" s="27"/>
      <c r="AI27" s="27"/>
      <c r="AJ27" s="27"/>
      <c r="AK27" s="27"/>
    </row>
    <row r="28" spans="1:37" ht="16.5" outlineLevel="2" thickBot="1" x14ac:dyDescent="0.3">
      <c r="A28" s="101" t="s">
        <v>74</v>
      </c>
      <c r="B28" s="102" t="s">
        <v>75</v>
      </c>
      <c r="C28" s="103" t="s">
        <v>76</v>
      </c>
      <c r="D28" s="2"/>
      <c r="E28" s="2"/>
      <c r="F28" s="2"/>
      <c r="G28" s="2"/>
      <c r="H28" s="2"/>
      <c r="I28" s="2"/>
      <c r="J28" s="2"/>
      <c r="K28" s="2"/>
      <c r="L28" s="2"/>
      <c r="M28" s="2"/>
      <c r="N28" s="2"/>
      <c r="O28" s="2"/>
      <c r="P28" s="2"/>
      <c r="Q28" s="2"/>
      <c r="R28" s="2"/>
      <c r="S28" s="2"/>
      <c r="T28" s="2"/>
      <c r="U28" s="27"/>
      <c r="V28" s="27"/>
      <c r="W28" s="27"/>
      <c r="X28" s="27"/>
      <c r="Y28" s="27"/>
      <c r="Z28" s="27"/>
      <c r="AA28" s="27"/>
      <c r="AB28" s="27"/>
      <c r="AC28" s="27"/>
      <c r="AD28" s="27"/>
      <c r="AE28" s="27"/>
      <c r="AF28" s="104" t="s">
        <v>77</v>
      </c>
      <c r="AG28" s="105"/>
      <c r="AH28" s="105"/>
      <c r="AI28" s="105"/>
      <c r="AJ28" s="105"/>
      <c r="AK28" s="105"/>
    </row>
    <row r="29" spans="1:37" x14ac:dyDescent="0.25">
      <c r="A29" s="2"/>
      <c r="B29" s="2"/>
      <c r="C29" s="2"/>
      <c r="D29" s="2"/>
      <c r="E29" s="2"/>
      <c r="F29" s="2"/>
      <c r="G29" s="2"/>
      <c r="H29" s="2"/>
      <c r="I29" s="2"/>
      <c r="J29" s="2"/>
      <c r="K29" s="2"/>
      <c r="L29" s="2"/>
      <c r="M29" s="2"/>
      <c r="N29" s="2"/>
      <c r="O29" s="2"/>
      <c r="P29" s="2"/>
      <c r="Q29" s="2"/>
      <c r="R29" s="2"/>
      <c r="S29" s="2"/>
      <c r="T29" s="2"/>
      <c r="U29" s="27"/>
      <c r="V29" s="27"/>
      <c r="W29" s="27"/>
      <c r="X29" s="27"/>
      <c r="Y29" s="27"/>
      <c r="Z29" s="27"/>
      <c r="AA29" s="27"/>
      <c r="AB29" s="27"/>
      <c r="AC29" s="27"/>
      <c r="AD29" s="27"/>
      <c r="AE29" s="27"/>
      <c r="AF29" s="106" t="s">
        <v>78</v>
      </c>
      <c r="AG29" s="105"/>
      <c r="AH29" s="105"/>
      <c r="AI29" s="105"/>
      <c r="AJ29" s="105"/>
      <c r="AK29" s="105"/>
    </row>
    <row r="30" spans="1:37" ht="16.5" thickBot="1" x14ac:dyDescent="0.3">
      <c r="A30" s="5"/>
      <c r="B30" s="2"/>
      <c r="C30" s="2"/>
      <c r="D30" s="2"/>
      <c r="E30" s="2"/>
      <c r="F30" s="2"/>
      <c r="G30" s="2"/>
      <c r="H30" s="2"/>
      <c r="I30" s="2"/>
      <c r="J30" s="2"/>
      <c r="K30" s="2"/>
      <c r="L30" s="2"/>
      <c r="M30" s="2"/>
      <c r="N30" s="2"/>
      <c r="O30" s="2"/>
      <c r="P30" s="2"/>
      <c r="Q30" s="2"/>
      <c r="R30" s="2"/>
      <c r="S30" s="2"/>
      <c r="T30" s="2"/>
      <c r="U30" s="27"/>
      <c r="V30" s="27"/>
      <c r="W30" s="27"/>
      <c r="X30" s="27"/>
      <c r="Y30" s="27"/>
      <c r="Z30" s="27"/>
      <c r="AA30" s="27"/>
      <c r="AB30" s="27"/>
      <c r="AC30" s="27"/>
      <c r="AD30" s="27"/>
      <c r="AE30" s="27"/>
      <c r="AF30" s="107" t="s">
        <v>79</v>
      </c>
      <c r="AG30" s="105"/>
      <c r="AH30" s="105"/>
      <c r="AI30" s="105"/>
      <c r="AJ30" s="105"/>
      <c r="AK30" s="105"/>
    </row>
    <row r="31" spans="1:37" ht="18.75" x14ac:dyDescent="0.3">
      <c r="A31" s="108" t="s">
        <v>80</v>
      </c>
      <c r="B31" s="108"/>
      <c r="C31" s="108"/>
      <c r="D31" s="108"/>
      <c r="E31" s="108"/>
      <c r="F31" s="108"/>
      <c r="G31" s="108"/>
      <c r="H31" s="108"/>
      <c r="I31" s="108"/>
      <c r="J31" s="108"/>
      <c r="K31" s="108"/>
      <c r="L31" s="108"/>
      <c r="M31" s="108"/>
      <c r="N31" s="108"/>
      <c r="O31" s="108"/>
      <c r="P31" s="108"/>
      <c r="Q31" s="108"/>
      <c r="R31" s="108"/>
      <c r="S31" s="109"/>
      <c r="T31" s="109"/>
      <c r="U31" s="27"/>
      <c r="V31" s="27"/>
      <c r="W31" s="27"/>
      <c r="X31" s="27"/>
      <c r="Y31" s="27"/>
      <c r="Z31" s="27"/>
      <c r="AA31" s="27"/>
      <c r="AB31" s="27"/>
      <c r="AC31" s="27"/>
      <c r="AD31" s="27"/>
      <c r="AE31" s="27"/>
      <c r="AF31" s="110" t="s">
        <v>81</v>
      </c>
      <c r="AG31" s="105"/>
      <c r="AH31" s="105"/>
      <c r="AI31" s="105"/>
      <c r="AJ31" s="105"/>
      <c r="AK31" s="111"/>
    </row>
    <row r="32" spans="1:37" ht="63" x14ac:dyDescent="0.25">
      <c r="A32" s="112" t="s">
        <v>82</v>
      </c>
      <c r="B32" s="113" t="s">
        <v>83</v>
      </c>
      <c r="C32" s="113" t="s">
        <v>84</v>
      </c>
      <c r="D32" s="113" t="s">
        <v>85</v>
      </c>
      <c r="E32" s="113" t="s">
        <v>86</v>
      </c>
      <c r="F32" s="114" t="s">
        <v>87</v>
      </c>
      <c r="G32" s="114" t="s">
        <v>88</v>
      </c>
      <c r="H32" s="113" t="s">
        <v>89</v>
      </c>
      <c r="I32" s="113" t="s">
        <v>90</v>
      </c>
      <c r="J32" s="113" t="s">
        <v>91</v>
      </c>
      <c r="K32" s="113" t="s">
        <v>92</v>
      </c>
      <c r="L32" s="114" t="s">
        <v>93</v>
      </c>
      <c r="M32" s="114" t="s">
        <v>94</v>
      </c>
      <c r="N32" s="113" t="s">
        <v>95</v>
      </c>
      <c r="O32" s="113" t="s">
        <v>96</v>
      </c>
      <c r="P32" s="113" t="s">
        <v>97</v>
      </c>
      <c r="Q32" s="113" t="s">
        <v>98</v>
      </c>
      <c r="R32" s="115" t="s">
        <v>99</v>
      </c>
      <c r="S32" s="116"/>
      <c r="T32" s="116"/>
      <c r="U32" s="27"/>
      <c r="V32" s="27"/>
      <c r="W32" s="27"/>
      <c r="X32" s="27"/>
      <c r="Y32" s="27"/>
      <c r="Z32" s="27"/>
      <c r="AA32" s="27"/>
      <c r="AB32" s="27"/>
      <c r="AC32" s="27"/>
      <c r="AD32" s="27"/>
      <c r="AE32" s="27"/>
      <c r="AF32" s="107" t="s">
        <v>100</v>
      </c>
      <c r="AG32" s="105"/>
      <c r="AH32" s="105"/>
      <c r="AI32" s="105"/>
      <c r="AJ32" s="105"/>
      <c r="AK32" s="105"/>
    </row>
    <row r="33" spans="1:33" x14ac:dyDescent="0.25">
      <c r="A33" s="117">
        <v>1</v>
      </c>
      <c r="B33" s="118">
        <v>12.5</v>
      </c>
      <c r="C33" s="119">
        <f>B13</f>
        <v>3.5</v>
      </c>
      <c r="D33" s="120">
        <v>500.43</v>
      </c>
      <c r="E33" s="121">
        <f t="shared" ref="E33:E38" si="1">(B33*D33*$B$20*C33)/($B$19*$B$27)</f>
        <v>43.787612450428696</v>
      </c>
      <c r="F33" s="122">
        <v>45.12</v>
      </c>
      <c r="G33" s="122">
        <v>0.7</v>
      </c>
      <c r="H33" s="123">
        <f>F33-G33</f>
        <v>44.419999999999995</v>
      </c>
      <c r="I33" s="124">
        <f t="shared" ref="I33:I38" si="2" xml:space="preserve"> (H33*$B$27*$B$19)/ (D33*$B$20*C33)</f>
        <v>12.680526955622213</v>
      </c>
      <c r="J33" s="120">
        <v>454.65</v>
      </c>
      <c r="K33" s="125">
        <v>686.5</v>
      </c>
      <c r="L33" s="120">
        <v>591.44000000000005</v>
      </c>
      <c r="M33" s="120">
        <v>700.55</v>
      </c>
      <c r="N33" s="126">
        <v>100</v>
      </c>
      <c r="O33" s="127">
        <f t="shared" ref="O33:O35" si="3">L33-J33</f>
        <v>136.79000000000008</v>
      </c>
      <c r="P33" s="121">
        <f>M33-K33</f>
        <v>14.049999999999955</v>
      </c>
      <c r="Q33" s="121">
        <f>((O33+P33)/O33)*(D33/(D33+H33))*C33</f>
        <v>3.544839695928478</v>
      </c>
      <c r="R33" s="128">
        <f>$B$24/Q33*100</f>
        <v>178.42055767315517</v>
      </c>
      <c r="S33" s="129"/>
      <c r="T33" s="129"/>
      <c r="U33" s="27"/>
      <c r="V33" s="27"/>
      <c r="W33" s="27"/>
      <c r="X33" s="27"/>
      <c r="Y33" s="27"/>
      <c r="Z33" s="27"/>
      <c r="AA33" s="27"/>
      <c r="AB33" s="27"/>
      <c r="AC33" s="27"/>
      <c r="AD33" s="27"/>
      <c r="AE33" s="27"/>
      <c r="AF33" s="105"/>
      <c r="AG33" s="105"/>
    </row>
    <row r="34" spans="1:33" x14ac:dyDescent="0.25">
      <c r="A34" s="117">
        <v>2</v>
      </c>
      <c r="B34" s="118">
        <v>15</v>
      </c>
      <c r="C34" s="119">
        <f>B13</f>
        <v>3.5</v>
      </c>
      <c r="D34" s="120">
        <v>500.2</v>
      </c>
      <c r="E34" s="121">
        <f t="shared" si="1"/>
        <v>52.520984947435849</v>
      </c>
      <c r="F34" s="120">
        <v>54.05</v>
      </c>
      <c r="G34" s="120">
        <v>0.75</v>
      </c>
      <c r="H34" s="123">
        <f>F34-G34</f>
        <v>53.3</v>
      </c>
      <c r="I34" s="124">
        <f t="shared" si="2"/>
        <v>15.222486798375112</v>
      </c>
      <c r="J34" s="120">
        <v>449.1</v>
      </c>
      <c r="K34" s="125">
        <v>399.12</v>
      </c>
      <c r="L34" s="120">
        <v>590.25</v>
      </c>
      <c r="M34" s="120">
        <v>758.25</v>
      </c>
      <c r="N34" s="126">
        <v>100</v>
      </c>
      <c r="O34" s="127">
        <f t="shared" si="3"/>
        <v>141.14999999999998</v>
      </c>
      <c r="P34" s="121">
        <f>M34-K34</f>
        <v>359.13</v>
      </c>
      <c r="Q34" s="121">
        <f>((O34+P34)/O34)*(D34/(D34+H34))*C34</f>
        <v>11.210535679143543</v>
      </c>
      <c r="R34" s="128">
        <f>$B$24/Q34*100</f>
        <v>56.417667586230472</v>
      </c>
      <c r="S34" s="129"/>
      <c r="T34" s="129"/>
      <c r="U34" s="27"/>
      <c r="V34" s="27"/>
      <c r="W34" s="27"/>
      <c r="X34" s="27"/>
      <c r="Y34" s="27"/>
      <c r="Z34" s="27"/>
      <c r="AA34" s="27"/>
      <c r="AB34" s="27"/>
      <c r="AC34" s="27"/>
      <c r="AD34" s="27"/>
      <c r="AE34" s="27"/>
      <c r="AF34" s="130" t="s">
        <v>101</v>
      </c>
      <c r="AG34" s="105"/>
    </row>
    <row r="35" spans="1:33" x14ac:dyDescent="0.25">
      <c r="A35" s="117">
        <v>3</v>
      </c>
      <c r="B35" s="118">
        <v>17</v>
      </c>
      <c r="C35" s="119">
        <f>B13</f>
        <v>3.5</v>
      </c>
      <c r="D35" s="120">
        <v>500.03</v>
      </c>
      <c r="E35" s="128">
        <f t="shared" si="1"/>
        <v>59.50355294622522</v>
      </c>
      <c r="F35" s="120">
        <v>61.06</v>
      </c>
      <c r="G35" s="120">
        <v>0.82</v>
      </c>
      <c r="H35" s="131">
        <f>F35-G35</f>
        <v>60.24</v>
      </c>
      <c r="I35" s="124">
        <f t="shared" si="2"/>
        <v>17.210400880187535</v>
      </c>
      <c r="J35" s="120">
        <v>406.27</v>
      </c>
      <c r="K35" s="125">
        <v>400.99</v>
      </c>
      <c r="L35" s="120">
        <v>550.25</v>
      </c>
      <c r="M35" s="120">
        <v>784.75</v>
      </c>
      <c r="N35" s="126">
        <v>100</v>
      </c>
      <c r="O35" s="127">
        <f t="shared" si="3"/>
        <v>143.98000000000002</v>
      </c>
      <c r="P35" s="121">
        <f>M35-K35</f>
        <v>383.76</v>
      </c>
      <c r="Q35" s="121">
        <f t="shared" ref="Q35" si="4">((O35+P35)/O35)*(D35/(D35+H35))*C35</f>
        <v>11.449448831638936</v>
      </c>
      <c r="R35" s="128">
        <f>$B$24/Q35*100</f>
        <v>55.240412417211651</v>
      </c>
      <c r="S35" s="129"/>
      <c r="T35" s="129"/>
      <c r="U35" s="27"/>
      <c r="V35" s="27"/>
      <c r="W35" s="27"/>
      <c r="X35" s="27"/>
      <c r="Y35" s="27"/>
      <c r="Z35" s="27"/>
      <c r="AA35" s="27"/>
      <c r="AB35" s="27"/>
      <c r="AC35" s="27"/>
      <c r="AD35" s="27"/>
      <c r="AE35" s="27"/>
      <c r="AF35" s="132" t="s">
        <v>102</v>
      </c>
      <c r="AG35" s="105"/>
    </row>
    <row r="36" spans="1:33" x14ac:dyDescent="0.25">
      <c r="A36" s="117">
        <v>4</v>
      </c>
      <c r="B36" s="118">
        <v>19</v>
      </c>
      <c r="C36" s="119">
        <f>B13</f>
        <v>3.5</v>
      </c>
      <c r="D36" s="120">
        <v>500.25</v>
      </c>
      <c r="E36" s="128">
        <f t="shared" si="1"/>
        <v>66.533230931512833</v>
      </c>
      <c r="F36" s="120">
        <v>68.45</v>
      </c>
      <c r="G36" s="120">
        <v>0.81</v>
      </c>
      <c r="H36" s="131">
        <f>F36-G36</f>
        <v>67.64</v>
      </c>
      <c r="I36" s="124">
        <f t="shared" si="2"/>
        <v>19.316061793585558</v>
      </c>
      <c r="J36" s="120">
        <v>204.68</v>
      </c>
      <c r="K36" s="125">
        <v>326.43</v>
      </c>
      <c r="L36" s="120">
        <v>350.94</v>
      </c>
      <c r="M36" s="120">
        <v>678.38</v>
      </c>
      <c r="N36" s="126">
        <v>100</v>
      </c>
      <c r="O36" s="127">
        <f>L36-J36</f>
        <v>146.26</v>
      </c>
      <c r="P36" s="121">
        <f>M36-K36</f>
        <v>351.95</v>
      </c>
      <c r="Q36" s="121">
        <f>((O36+P36)/O36)*(D36/(D36+H36))*C36</f>
        <v>10.502139717364418</v>
      </c>
      <c r="R36" s="128">
        <f>$B$24/Q36*100</f>
        <v>60.223182363852601</v>
      </c>
      <c r="S36" s="129"/>
      <c r="T36" s="129"/>
      <c r="U36" s="27"/>
      <c r="V36" s="27"/>
      <c r="W36" s="27"/>
      <c r="X36" s="27"/>
      <c r="Y36" s="27"/>
      <c r="Z36" s="27"/>
      <c r="AA36" s="27"/>
      <c r="AB36" s="27"/>
      <c r="AC36" s="27"/>
      <c r="AD36" s="27"/>
      <c r="AE36" s="27"/>
      <c r="AF36" s="132" t="s">
        <v>103</v>
      </c>
      <c r="AG36" s="105"/>
    </row>
    <row r="37" spans="1:33" x14ac:dyDescent="0.25">
      <c r="A37" s="117">
        <v>5</v>
      </c>
      <c r="B37" s="118">
        <v>20.5</v>
      </c>
      <c r="C37" s="119">
        <f>B13</f>
        <v>3.5</v>
      </c>
      <c r="D37" s="120">
        <v>500.23</v>
      </c>
      <c r="E37" s="121">
        <f t="shared" si="1"/>
        <v>71.782984426928508</v>
      </c>
      <c r="F37" s="133">
        <v>73.63</v>
      </c>
      <c r="G37" s="133">
        <v>0.81</v>
      </c>
      <c r="H37" s="123">
        <f t="shared" ref="H37:H38" si="5">F37-G37</f>
        <v>72.819999999999993</v>
      </c>
      <c r="I37" s="124">
        <f t="shared" si="2"/>
        <v>20.796154017803566</v>
      </c>
      <c r="J37" s="120">
        <v>205.9</v>
      </c>
      <c r="K37" s="125">
        <v>325.31</v>
      </c>
      <c r="L37" s="120">
        <v>346.82</v>
      </c>
      <c r="M37" s="120">
        <v>708.39</v>
      </c>
      <c r="N37" s="126">
        <v>100</v>
      </c>
      <c r="O37" s="127">
        <f t="shared" ref="O37:P38" si="6">L37-J37</f>
        <v>140.91999999999999</v>
      </c>
      <c r="P37" s="121">
        <f t="shared" si="6"/>
        <v>383.08</v>
      </c>
      <c r="Q37" s="121">
        <f t="shared" ref="Q37:Q38" si="7">((O37+P37)/O37)*(D37/(D37+H37))*C37</f>
        <v>11.360669189168924</v>
      </c>
      <c r="R37" s="128">
        <f t="shared" ref="R37:R38" si="8">$B$24/Q37*100</f>
        <v>55.672096852576743</v>
      </c>
      <c r="S37" s="129"/>
      <c r="T37" s="129"/>
      <c r="U37" s="27"/>
      <c r="V37" s="27"/>
      <c r="W37" s="27"/>
      <c r="X37" s="27"/>
      <c r="Y37" s="27"/>
      <c r="Z37" s="27"/>
      <c r="AA37" s="27"/>
      <c r="AB37" s="27"/>
      <c r="AC37" s="27"/>
      <c r="AD37" s="27"/>
      <c r="AE37" s="27"/>
      <c r="AF37" s="134">
        <f>AI23-AK23</f>
        <v>8.6346560587677459</v>
      </c>
      <c r="AG37" s="105" t="s">
        <v>104</v>
      </c>
    </row>
    <row r="38" spans="1:33" x14ac:dyDescent="0.25">
      <c r="A38" s="117">
        <v>6</v>
      </c>
      <c r="B38" s="118">
        <v>21.5</v>
      </c>
      <c r="C38" s="119">
        <f>B13</f>
        <v>3.5</v>
      </c>
      <c r="D38" s="120">
        <v>500.05</v>
      </c>
      <c r="E38" s="121">
        <f t="shared" si="1"/>
        <v>75.257503431128072</v>
      </c>
      <c r="F38" s="120">
        <v>77.28</v>
      </c>
      <c r="G38" s="120">
        <v>1.02</v>
      </c>
      <c r="H38" s="123">
        <f t="shared" si="5"/>
        <v>76.260000000000005</v>
      </c>
      <c r="I38" s="124">
        <f t="shared" si="2"/>
        <v>21.78639903329336</v>
      </c>
      <c r="J38" s="120">
        <v>159.41999999999999</v>
      </c>
      <c r="K38" s="125">
        <v>408.18</v>
      </c>
      <c r="L38" s="120">
        <v>306.89999999999998</v>
      </c>
      <c r="M38" s="120">
        <v>805.49</v>
      </c>
      <c r="N38" s="126">
        <v>100</v>
      </c>
      <c r="O38" s="127">
        <f t="shared" si="6"/>
        <v>147.47999999999999</v>
      </c>
      <c r="P38" s="121">
        <f t="shared" si="6"/>
        <v>397.31</v>
      </c>
      <c r="Q38" s="121">
        <f t="shared" si="7"/>
        <v>11.218151964625612</v>
      </c>
      <c r="R38" s="128">
        <f t="shared" si="8"/>
        <v>56.379364212918702</v>
      </c>
      <c r="S38" s="129"/>
      <c r="T38" s="129"/>
      <c r="U38" s="27"/>
      <c r="V38" s="27"/>
      <c r="W38" s="27"/>
      <c r="X38" s="27"/>
      <c r="Y38" s="27"/>
      <c r="Z38" s="27"/>
      <c r="AA38" s="27"/>
      <c r="AB38" s="27"/>
      <c r="AC38" s="27"/>
      <c r="AD38" s="27"/>
      <c r="AE38" s="27"/>
      <c r="AF38" s="105"/>
      <c r="AG38" s="105"/>
    </row>
    <row r="39" spans="1:33" x14ac:dyDescent="0.25">
      <c r="A39" s="117"/>
      <c r="B39" s="118"/>
      <c r="C39" s="119"/>
      <c r="D39" s="120"/>
      <c r="E39" s="121"/>
      <c r="F39" s="285"/>
      <c r="G39" s="285"/>
      <c r="H39" s="123"/>
      <c r="I39" s="124"/>
      <c r="J39" s="120"/>
      <c r="K39" s="125"/>
      <c r="L39" s="120"/>
      <c r="M39" s="120"/>
      <c r="N39" s="126"/>
      <c r="O39" s="127"/>
      <c r="P39" s="121"/>
      <c r="Q39" s="121"/>
      <c r="R39" s="128"/>
      <c r="S39" s="129"/>
      <c r="T39" s="129"/>
      <c r="U39" s="27"/>
      <c r="V39" s="27"/>
      <c r="W39" s="27"/>
      <c r="X39" s="27"/>
      <c r="Y39" s="27"/>
      <c r="Z39" s="27"/>
      <c r="AA39" s="27"/>
      <c r="AB39" s="27"/>
      <c r="AC39" s="27"/>
      <c r="AD39" s="27"/>
      <c r="AE39" s="27"/>
      <c r="AF39" s="105"/>
      <c r="AG39" s="105"/>
    </row>
    <row r="40" spans="1:33" ht="18.75" customHeight="1" thickBot="1" x14ac:dyDescent="0.3">
      <c r="A40" s="117"/>
      <c r="B40" s="118"/>
      <c r="C40" s="119"/>
      <c r="D40" s="120"/>
      <c r="E40" s="121"/>
      <c r="F40" s="122"/>
      <c r="G40" s="122"/>
      <c r="H40" s="123"/>
      <c r="I40" s="124"/>
      <c r="J40" s="120"/>
      <c r="K40" s="125"/>
      <c r="L40" s="120"/>
      <c r="M40" s="120"/>
      <c r="N40" s="126"/>
      <c r="O40" s="127"/>
      <c r="P40" s="121"/>
      <c r="Q40" s="121"/>
      <c r="R40" s="128"/>
      <c r="S40" s="129"/>
      <c r="T40" s="129"/>
      <c r="U40" s="27"/>
      <c r="V40" s="27"/>
      <c r="W40" s="27"/>
      <c r="X40" s="27"/>
      <c r="Y40" s="27"/>
      <c r="Z40" s="27"/>
      <c r="AA40" s="27"/>
      <c r="AB40" s="27"/>
      <c r="AC40" s="27"/>
      <c r="AD40" s="27"/>
      <c r="AE40" s="27"/>
      <c r="AF40" s="27"/>
      <c r="AG40" s="27"/>
    </row>
    <row r="41" spans="1:33" ht="16.5" customHeight="1" x14ac:dyDescent="0.25">
      <c r="A41" s="114" t="s">
        <v>82</v>
      </c>
      <c r="B41" s="114" t="s">
        <v>105</v>
      </c>
      <c r="C41" s="135" t="s">
        <v>106</v>
      </c>
      <c r="D41" s="136" t="s">
        <v>107</v>
      </c>
      <c r="E41" s="136"/>
      <c r="F41" s="136"/>
      <c r="G41" s="136"/>
      <c r="H41" s="136"/>
      <c r="I41" s="137" t="s">
        <v>108</v>
      </c>
      <c r="J41" s="137"/>
      <c r="K41" s="137"/>
      <c r="L41" s="137"/>
      <c r="M41" s="137"/>
      <c r="N41" s="2"/>
      <c r="O41" s="2"/>
      <c r="P41" s="2"/>
      <c r="Q41" s="2"/>
      <c r="R41" s="2"/>
      <c r="S41" s="2"/>
      <c r="T41" s="2"/>
      <c r="U41" s="27"/>
      <c r="V41" s="27"/>
      <c r="W41" s="27"/>
      <c r="X41" s="27"/>
      <c r="Y41" s="27"/>
      <c r="Z41" s="27"/>
      <c r="AA41" s="27"/>
      <c r="AB41" s="27"/>
      <c r="AC41" s="27"/>
      <c r="AD41" s="27"/>
      <c r="AE41" s="27"/>
      <c r="AF41" s="27"/>
      <c r="AG41" s="27"/>
    </row>
    <row r="42" spans="1:33" ht="15.75" customHeight="1" x14ac:dyDescent="0.25">
      <c r="A42" s="138">
        <v>1</v>
      </c>
      <c r="B42" s="139">
        <f>AVERAGE(D42:H42)</f>
        <v>120.8</v>
      </c>
      <c r="C42" s="139" t="e">
        <f t="shared" ref="C42" si="9">AVERAGE(I42:K42)</f>
        <v>#DIV/0!</v>
      </c>
      <c r="D42" s="140">
        <v>120.8</v>
      </c>
      <c r="E42" s="140"/>
      <c r="F42" s="140"/>
      <c r="G42" s="140"/>
      <c r="H42" s="140"/>
      <c r="I42" s="141"/>
      <c r="J42" s="140"/>
      <c r="K42" s="140"/>
      <c r="L42" s="140"/>
      <c r="M42" s="140"/>
      <c r="N42" s="2"/>
      <c r="O42" s="2"/>
      <c r="P42" s="2"/>
      <c r="Q42" s="2"/>
      <c r="R42" s="2"/>
      <c r="S42" s="2"/>
      <c r="T42" s="2"/>
      <c r="U42" s="27"/>
      <c r="V42" s="27"/>
      <c r="W42" s="27"/>
      <c r="X42" s="27"/>
      <c r="Y42" s="27"/>
      <c r="Z42" s="27"/>
      <c r="AA42" s="27"/>
      <c r="AB42" s="27"/>
      <c r="AC42" s="27"/>
      <c r="AD42" s="27"/>
      <c r="AE42" s="27"/>
      <c r="AF42" s="27"/>
      <c r="AG42" s="27"/>
    </row>
    <row r="43" spans="1:33" x14ac:dyDescent="0.25">
      <c r="A43" s="138">
        <v>2</v>
      </c>
      <c r="B43" s="139">
        <f>AVERAGE(D43:H43)</f>
        <v>70.949999999999989</v>
      </c>
      <c r="C43" s="139" t="e">
        <f>AVERAGE(I43:K43)</f>
        <v>#DIV/0!</v>
      </c>
      <c r="D43" s="141">
        <v>68.8</v>
      </c>
      <c r="E43" s="140">
        <v>73.099999999999994</v>
      </c>
      <c r="F43" s="140"/>
      <c r="G43" s="140"/>
      <c r="H43" s="140"/>
      <c r="I43" s="141"/>
      <c r="J43" s="140"/>
      <c r="K43" s="140"/>
      <c r="L43" s="140"/>
      <c r="M43" s="140"/>
      <c r="N43" s="2"/>
      <c r="O43" s="2"/>
      <c r="P43" s="2"/>
      <c r="Q43" s="2"/>
      <c r="R43" s="2"/>
      <c r="S43" s="2"/>
      <c r="T43" s="2"/>
      <c r="U43" s="27"/>
      <c r="V43" s="27"/>
      <c r="W43" s="27"/>
      <c r="X43" s="27"/>
      <c r="Y43" s="27"/>
      <c r="Z43" s="27"/>
      <c r="AA43" s="27"/>
      <c r="AB43" s="27"/>
      <c r="AC43" s="27"/>
      <c r="AD43" s="27"/>
      <c r="AE43" s="27"/>
      <c r="AF43" s="27"/>
      <c r="AG43" s="27"/>
    </row>
    <row r="44" spans="1:33" x14ac:dyDescent="0.25">
      <c r="A44" s="138">
        <v>3</v>
      </c>
      <c r="B44" s="139">
        <f>AVERAGE(D44:H44)</f>
        <v>60.7</v>
      </c>
      <c r="C44" s="139" t="e">
        <f t="shared" ref="C44:C46" si="10">AVERAGE(I44:K44)</f>
        <v>#DIV/0!</v>
      </c>
      <c r="D44" s="141">
        <v>65.5</v>
      </c>
      <c r="E44" s="140">
        <v>55.9</v>
      </c>
      <c r="F44" s="140"/>
      <c r="G44" s="140"/>
      <c r="H44" s="140"/>
      <c r="I44" s="141"/>
      <c r="J44" s="140"/>
      <c r="K44" s="140"/>
      <c r="L44" s="140"/>
      <c r="M44" s="140"/>
      <c r="N44" s="2"/>
      <c r="O44" s="2"/>
      <c r="P44" s="2"/>
      <c r="Q44" s="2"/>
      <c r="R44" s="2"/>
      <c r="S44" s="2"/>
      <c r="T44" s="2"/>
      <c r="U44" s="27"/>
      <c r="V44" s="27"/>
      <c r="W44" s="27"/>
      <c r="X44" s="27"/>
      <c r="Y44" s="27"/>
      <c r="Z44" s="27"/>
      <c r="AA44" s="27"/>
      <c r="AB44" s="27"/>
      <c r="AC44" s="27"/>
      <c r="AD44" s="27"/>
      <c r="AE44" s="27"/>
      <c r="AF44" s="27"/>
      <c r="AG44" s="27"/>
    </row>
    <row r="45" spans="1:33" ht="16.5" customHeight="1" x14ac:dyDescent="0.25">
      <c r="A45" s="138">
        <v>4</v>
      </c>
      <c r="B45" s="139">
        <f>AVERAGE(D45:H45)</f>
        <v>48.45</v>
      </c>
      <c r="C45" s="139" t="e">
        <f t="shared" si="10"/>
        <v>#DIV/0!</v>
      </c>
      <c r="D45" s="141">
        <v>51.5</v>
      </c>
      <c r="E45" s="140">
        <v>45.4</v>
      </c>
      <c r="F45" s="140"/>
      <c r="G45" s="140"/>
      <c r="H45" s="140"/>
      <c r="I45" s="141"/>
      <c r="J45" s="140"/>
      <c r="K45" s="140"/>
      <c r="L45" s="140"/>
      <c r="M45" s="140"/>
      <c r="N45" s="2"/>
      <c r="O45" s="2"/>
      <c r="P45" s="2"/>
      <c r="Q45" s="2"/>
      <c r="R45" s="2"/>
      <c r="S45" s="2"/>
      <c r="T45" s="2"/>
      <c r="U45" s="27"/>
      <c r="V45" s="27"/>
      <c r="W45" s="27"/>
      <c r="X45" s="27"/>
      <c r="Y45" s="27"/>
      <c r="Z45" s="27"/>
      <c r="AA45" s="27"/>
      <c r="AB45" s="27"/>
      <c r="AC45" s="27"/>
      <c r="AD45" s="27"/>
      <c r="AE45" s="27"/>
      <c r="AF45" s="27"/>
      <c r="AG45" s="27"/>
    </row>
    <row r="46" spans="1:33" ht="18.75" customHeight="1" x14ac:dyDescent="0.25">
      <c r="A46" s="138">
        <v>5</v>
      </c>
      <c r="B46" s="139">
        <f>AVERAGE(D46:H46)</f>
        <v>32.6</v>
      </c>
      <c r="C46" s="139" t="e">
        <f t="shared" si="10"/>
        <v>#DIV/0!</v>
      </c>
      <c r="D46" s="141">
        <v>29.7</v>
      </c>
      <c r="E46" s="140">
        <v>30</v>
      </c>
      <c r="F46" s="140">
        <v>38.1</v>
      </c>
      <c r="G46" s="140"/>
      <c r="H46" s="140"/>
      <c r="I46" s="141"/>
      <c r="J46" s="140"/>
      <c r="K46" s="140"/>
      <c r="L46" s="140"/>
      <c r="M46" s="140"/>
      <c r="N46" s="2"/>
      <c r="O46" s="2"/>
      <c r="P46" s="2"/>
      <c r="Q46" s="2"/>
      <c r="R46" s="2"/>
      <c r="S46" s="2"/>
      <c r="T46" s="2"/>
      <c r="U46" s="27"/>
      <c r="V46" s="27"/>
      <c r="W46" s="27"/>
      <c r="X46" s="27"/>
      <c r="Y46" s="27"/>
      <c r="Z46" s="27"/>
      <c r="AA46" s="27"/>
      <c r="AB46" s="27"/>
      <c r="AC46" s="27"/>
      <c r="AD46" s="27"/>
      <c r="AE46" s="27"/>
      <c r="AF46" s="27"/>
      <c r="AG46" s="27"/>
    </row>
    <row r="47" spans="1:33" ht="16.5" customHeight="1" x14ac:dyDescent="0.25">
      <c r="A47" s="138">
        <v>6</v>
      </c>
      <c r="B47" s="139">
        <f>AVERAGE(D47:H47)</f>
        <v>39.700000000000003</v>
      </c>
      <c r="C47" s="139"/>
      <c r="D47" s="141">
        <v>39.700000000000003</v>
      </c>
      <c r="E47" s="140"/>
      <c r="F47" s="140"/>
      <c r="G47" s="140"/>
      <c r="H47" s="140"/>
      <c r="I47" s="141"/>
      <c r="J47" s="140"/>
      <c r="K47" s="140"/>
      <c r="L47" s="140"/>
      <c r="M47" s="140"/>
      <c r="N47" s="2"/>
      <c r="O47" s="2"/>
      <c r="P47" s="2"/>
      <c r="Q47" s="2"/>
      <c r="R47" s="2"/>
      <c r="S47" s="2"/>
      <c r="T47" s="2"/>
      <c r="U47" s="27"/>
      <c r="V47" s="27"/>
      <c r="W47" s="27"/>
      <c r="X47" s="27"/>
      <c r="Y47" s="27"/>
      <c r="Z47" s="27"/>
      <c r="AA47" s="27"/>
      <c r="AB47" s="27"/>
      <c r="AC47" s="27"/>
      <c r="AD47" s="27"/>
      <c r="AE47" s="27"/>
      <c r="AF47" s="27"/>
      <c r="AG47" s="27"/>
    </row>
    <row r="50" spans="1:16" ht="21" customHeight="1" x14ac:dyDescent="0.25">
      <c r="A50" s="142" t="s">
        <v>109</v>
      </c>
      <c r="B50" s="142"/>
      <c r="C50" s="142"/>
      <c r="D50" s="142"/>
      <c r="E50" s="142"/>
      <c r="F50" s="142"/>
      <c r="G50" s="142"/>
      <c r="H50" s="142"/>
      <c r="I50" s="142"/>
      <c r="J50" s="142"/>
      <c r="K50" s="142"/>
      <c r="L50" s="142"/>
      <c r="M50" s="142"/>
      <c r="N50" s="142"/>
      <c r="O50" s="142"/>
      <c r="P50" s="142"/>
    </row>
    <row r="51" spans="1:16" ht="22.5" customHeight="1" x14ac:dyDescent="0.25">
      <c r="A51" s="143" t="s">
        <v>110</v>
      </c>
      <c r="B51" s="114" t="s">
        <v>111</v>
      </c>
      <c r="C51" s="114" t="s">
        <v>112</v>
      </c>
      <c r="D51" s="114" t="s">
        <v>113</v>
      </c>
      <c r="E51" s="114" t="s">
        <v>114</v>
      </c>
      <c r="F51" s="114" t="s">
        <v>115</v>
      </c>
      <c r="G51" s="114" t="s">
        <v>116</v>
      </c>
      <c r="H51" s="114" t="s">
        <v>117</v>
      </c>
      <c r="I51" s="114" t="s">
        <v>118</v>
      </c>
      <c r="J51" s="114" t="s">
        <v>119</v>
      </c>
      <c r="K51" s="114" t="s">
        <v>120</v>
      </c>
      <c r="L51" s="114" t="s">
        <v>121</v>
      </c>
      <c r="M51" s="114" t="s">
        <v>122</v>
      </c>
      <c r="N51" s="114" t="s">
        <v>123</v>
      </c>
      <c r="O51" s="114" t="s">
        <v>124</v>
      </c>
      <c r="P51" s="144" t="s">
        <v>125</v>
      </c>
    </row>
    <row r="52" spans="1:16" x14ac:dyDescent="0.25">
      <c r="A52" s="145">
        <v>1</v>
      </c>
      <c r="B52" s="146">
        <v>1.1114999999999999</v>
      </c>
      <c r="C52" s="146">
        <v>1.1165</v>
      </c>
      <c r="D52" s="147">
        <v>10</v>
      </c>
      <c r="E52" s="148">
        <v>10</v>
      </c>
      <c r="F52" s="146">
        <v>1.1192</v>
      </c>
      <c r="G52" s="146">
        <v>1.1247</v>
      </c>
      <c r="H52" s="147">
        <v>1</v>
      </c>
      <c r="I52" s="149">
        <f t="shared" ref="I52:I56" si="11">(F52-B52)*1000*H52/D52</f>
        <v>0.77000000000000401</v>
      </c>
      <c r="J52" s="149">
        <f t="shared" ref="J52:J56" si="12">(G52-C52)*1000*H52/E52</f>
        <v>0.81999999999999851</v>
      </c>
      <c r="K52" s="150">
        <f t="shared" ref="K52:K56" si="13">AVERAGE(I52:J52)</f>
        <v>0.79500000000000126</v>
      </c>
      <c r="L52" s="141"/>
      <c r="M52" s="151"/>
      <c r="N52" s="152">
        <f t="shared" ref="N52:N58" si="14">(F52-L52)/E52*1000000</f>
        <v>111919.99999999999</v>
      </c>
      <c r="O52" s="153">
        <f t="shared" ref="O52:O58" si="15">(G52-M52)/E52*1000000</f>
        <v>112470</v>
      </c>
      <c r="P52" s="154">
        <f>AVERAGE(O52)</f>
        <v>112470</v>
      </c>
    </row>
    <row r="53" spans="1:16" x14ac:dyDescent="0.25">
      <c r="A53" s="145">
        <v>3</v>
      </c>
      <c r="B53" s="146">
        <v>1.1085</v>
      </c>
      <c r="C53" s="146">
        <v>1.1193</v>
      </c>
      <c r="D53" s="147">
        <v>10</v>
      </c>
      <c r="E53" s="148">
        <v>10</v>
      </c>
      <c r="F53" s="146">
        <v>1.1152</v>
      </c>
      <c r="G53" s="146">
        <v>1.1261000000000001</v>
      </c>
      <c r="H53" s="147">
        <v>1</v>
      </c>
      <c r="I53" s="149">
        <f>(F53-B53)*1000*H53/D53</f>
        <v>0.66999999999999282</v>
      </c>
      <c r="J53" s="149">
        <f>(G53-C53)*1000*H53/E53</f>
        <v>0.68000000000001393</v>
      </c>
      <c r="K53" s="150">
        <f>AVERAGE(I53:J53)</f>
        <v>0.67500000000000338</v>
      </c>
      <c r="L53" s="151"/>
      <c r="M53" s="151"/>
      <c r="N53" s="152">
        <f>(F53-L53)/E53*1000000</f>
        <v>111520</v>
      </c>
      <c r="O53" s="153">
        <f>(G53-M53)/E53*1000000</f>
        <v>112610.00000000001</v>
      </c>
      <c r="P53" s="154">
        <f>AVERAGE(N53:O53)</f>
        <v>112065</v>
      </c>
    </row>
    <row r="54" spans="1:16" x14ac:dyDescent="0.25">
      <c r="A54" s="145">
        <v>2</v>
      </c>
      <c r="B54" s="146">
        <v>1.1208</v>
      </c>
      <c r="C54" s="146">
        <v>1.1095999999999999</v>
      </c>
      <c r="D54" s="147">
        <v>10</v>
      </c>
      <c r="E54" s="148">
        <v>10</v>
      </c>
      <c r="F54" s="146">
        <v>1.1272</v>
      </c>
      <c r="G54" s="146">
        <v>1.1160000000000001</v>
      </c>
      <c r="H54" s="147">
        <v>1</v>
      </c>
      <c r="I54" s="149">
        <f>(F54-B54)*1000*H54/D54</f>
        <v>0.63999999999999613</v>
      </c>
      <c r="J54" s="149">
        <f>(G54-C54)*1000*H54/E54</f>
        <v>0.64000000000001833</v>
      </c>
      <c r="K54" s="150">
        <f>AVERAGE(I54:J54)</f>
        <v>0.64000000000000723</v>
      </c>
      <c r="L54" s="151"/>
      <c r="M54" s="151"/>
      <c r="N54" s="152">
        <f>(F54-L54)/E54*1000000</f>
        <v>112720</v>
      </c>
      <c r="O54" s="153">
        <f>(G54-M54)/E54*1000000</f>
        <v>111600</v>
      </c>
      <c r="P54" s="154">
        <f>AVERAGE(O54)</f>
        <v>111600</v>
      </c>
    </row>
    <row r="55" spans="1:16" x14ac:dyDescent="0.25">
      <c r="A55" s="145">
        <v>4</v>
      </c>
      <c r="B55" s="146">
        <v>1.1135999999999999</v>
      </c>
      <c r="C55" s="146">
        <v>1.1158999999999999</v>
      </c>
      <c r="D55" s="147">
        <v>10</v>
      </c>
      <c r="E55" s="148">
        <v>10</v>
      </c>
      <c r="F55" s="146">
        <v>1.1189</v>
      </c>
      <c r="G55" s="146">
        <v>1.1215999999999999</v>
      </c>
      <c r="H55" s="147">
        <v>1</v>
      </c>
      <c r="I55" s="149">
        <f t="shared" si="11"/>
        <v>0.53000000000000824</v>
      </c>
      <c r="J55" s="149">
        <f t="shared" si="12"/>
        <v>0.57000000000000384</v>
      </c>
      <c r="K55" s="150">
        <f t="shared" si="13"/>
        <v>0.55000000000000604</v>
      </c>
      <c r="L55" s="151"/>
      <c r="M55" s="151"/>
      <c r="N55" s="152">
        <f t="shared" si="14"/>
        <v>111890</v>
      </c>
      <c r="O55" s="153">
        <f t="shared" si="15"/>
        <v>112160</v>
      </c>
      <c r="P55" s="154">
        <f>AVERAGE(N55:O55)</f>
        <v>112025</v>
      </c>
    </row>
    <row r="56" spans="1:16" x14ac:dyDescent="0.25">
      <c r="A56" s="145">
        <v>5</v>
      </c>
      <c r="B56" s="146">
        <v>1.1113999999999999</v>
      </c>
      <c r="C56" s="146">
        <v>1.1192</v>
      </c>
      <c r="D56" s="147">
        <v>10</v>
      </c>
      <c r="E56" s="148">
        <v>10</v>
      </c>
      <c r="F56" s="146">
        <v>1.1153999999999999</v>
      </c>
      <c r="G56" s="146">
        <v>1.1240000000000001</v>
      </c>
      <c r="H56" s="147">
        <v>1</v>
      </c>
      <c r="I56" s="149">
        <f t="shared" si="11"/>
        <v>0.40000000000000036</v>
      </c>
      <c r="J56" s="149">
        <f t="shared" si="12"/>
        <v>0.48000000000001375</v>
      </c>
      <c r="K56" s="150">
        <f t="shared" si="13"/>
        <v>0.44000000000000705</v>
      </c>
      <c r="L56" s="151"/>
      <c r="M56" s="151"/>
      <c r="N56" s="152">
        <f t="shared" si="14"/>
        <v>111540</v>
      </c>
      <c r="O56" s="153">
        <f t="shared" si="15"/>
        <v>112400.00000000001</v>
      </c>
      <c r="P56" s="154">
        <f>AVERAGE(O56)</f>
        <v>112400.00000000001</v>
      </c>
    </row>
    <row r="57" spans="1:16" x14ac:dyDescent="0.25">
      <c r="A57" s="145">
        <v>6</v>
      </c>
      <c r="B57" s="155">
        <v>1.1102000000000001</v>
      </c>
      <c r="C57" s="146">
        <v>1.1106</v>
      </c>
      <c r="D57" s="147">
        <v>10</v>
      </c>
      <c r="E57" s="148">
        <v>10</v>
      </c>
      <c r="F57" s="146">
        <v>1.1146</v>
      </c>
      <c r="G57" s="146">
        <v>1.115</v>
      </c>
      <c r="H57" s="147">
        <v>1</v>
      </c>
      <c r="I57" s="149">
        <f>(F57-B57)*1000*H57/D57</f>
        <v>0.43999999999999595</v>
      </c>
      <c r="J57" s="149">
        <f>(G57-C57)*1000*H57/E57</f>
        <v>0.43999999999999595</v>
      </c>
      <c r="K57" s="150">
        <f>AVERAGE(I57:J57)</f>
        <v>0.43999999999999595</v>
      </c>
      <c r="L57" s="141"/>
      <c r="M57" s="151"/>
      <c r="N57" s="152">
        <f t="shared" si="14"/>
        <v>111460</v>
      </c>
      <c r="O57" s="153">
        <f t="shared" si="15"/>
        <v>111500</v>
      </c>
      <c r="P57" s="154">
        <f>AVERAGE(O57)</f>
        <v>111500</v>
      </c>
    </row>
    <row r="58" spans="1:16" ht="40.5" customHeight="1" thickBot="1" x14ac:dyDescent="0.3">
      <c r="A58" s="156" t="s">
        <v>126</v>
      </c>
      <c r="B58" s="146">
        <v>1.115</v>
      </c>
      <c r="C58" s="146">
        <v>1.1215999999999999</v>
      </c>
      <c r="D58" s="147">
        <v>10</v>
      </c>
      <c r="E58" s="148">
        <v>10</v>
      </c>
      <c r="F58" s="146">
        <v>1.1188</v>
      </c>
      <c r="G58" s="146">
        <v>1.1253</v>
      </c>
      <c r="H58" s="147">
        <v>1</v>
      </c>
      <c r="I58" s="149">
        <f t="shared" ref="I58" si="16">(F58-B58)*1000*H58/D58</f>
        <v>0.38000000000000256</v>
      </c>
      <c r="J58" s="149">
        <f t="shared" ref="J58" si="17">(G58-C58)*1000*H58/E58</f>
        <v>0.37000000000000366</v>
      </c>
      <c r="K58" s="150">
        <f t="shared" ref="K58" si="18">AVERAGE(I58:J58)</f>
        <v>0.37500000000000311</v>
      </c>
      <c r="L58" s="157"/>
      <c r="M58" s="157"/>
      <c r="N58" s="152">
        <f t="shared" si="14"/>
        <v>111880</v>
      </c>
      <c r="O58" s="153">
        <f t="shared" si="15"/>
        <v>112529.99999999999</v>
      </c>
      <c r="P58" s="154">
        <f>AVERAGE(O58)</f>
        <v>112529.99999999999</v>
      </c>
    </row>
    <row r="59" spans="1:16" ht="34.5" customHeight="1" x14ac:dyDescent="0.25">
      <c r="A59" s="2"/>
      <c r="B59" s="2"/>
      <c r="C59" s="2"/>
      <c r="D59" s="2"/>
      <c r="E59" s="2"/>
      <c r="F59" s="2"/>
      <c r="G59" s="2"/>
      <c r="H59" s="2"/>
      <c r="I59" s="2"/>
      <c r="J59" s="2"/>
      <c r="K59" s="2"/>
      <c r="L59" s="2"/>
      <c r="M59" s="2"/>
      <c r="N59" s="2"/>
      <c r="O59" s="2"/>
      <c r="P59" s="2"/>
    </row>
    <row r="60" spans="1:16" ht="16.5" thickBot="1" x14ac:dyDescent="0.3">
      <c r="A60" s="2"/>
      <c r="B60" s="2"/>
      <c r="C60" s="2"/>
      <c r="D60" s="2"/>
      <c r="E60" s="2"/>
      <c r="F60" s="2"/>
      <c r="G60" s="2"/>
      <c r="H60" s="2"/>
      <c r="I60" s="2"/>
      <c r="J60" s="2"/>
      <c r="K60" s="2"/>
      <c r="L60" s="2"/>
      <c r="M60" s="2"/>
      <c r="N60" s="2"/>
      <c r="O60" s="2"/>
      <c r="P60" s="2"/>
    </row>
    <row r="61" spans="1:16" x14ac:dyDescent="0.25">
      <c r="A61" s="158" t="s">
        <v>127</v>
      </c>
      <c r="B61" s="159"/>
      <c r="C61" s="159"/>
      <c r="D61" s="159"/>
      <c r="E61" s="159"/>
      <c r="F61" s="159"/>
      <c r="G61" s="159"/>
      <c r="H61" s="159"/>
      <c r="I61" s="159"/>
      <c r="J61" s="159"/>
      <c r="K61" s="159"/>
      <c r="L61" s="159"/>
      <c r="M61" s="159"/>
      <c r="N61" s="159"/>
      <c r="O61" s="160"/>
      <c r="P61" s="2"/>
    </row>
    <row r="62" spans="1:16" x14ac:dyDescent="0.25">
      <c r="A62" s="143" t="s">
        <v>110</v>
      </c>
      <c r="B62" s="114" t="s">
        <v>128</v>
      </c>
      <c r="C62" s="114" t="s">
        <v>129</v>
      </c>
      <c r="D62" s="114" t="s">
        <v>130</v>
      </c>
      <c r="E62" s="114" t="s">
        <v>131</v>
      </c>
      <c r="F62" s="114" t="s">
        <v>115</v>
      </c>
      <c r="G62" s="114" t="s">
        <v>116</v>
      </c>
      <c r="H62" s="114" t="s">
        <v>132</v>
      </c>
      <c r="I62" s="114" t="s">
        <v>133</v>
      </c>
      <c r="J62" s="114" t="s">
        <v>134</v>
      </c>
      <c r="K62" s="114" t="s">
        <v>121</v>
      </c>
      <c r="L62" s="114" t="s">
        <v>122</v>
      </c>
      <c r="M62" s="114" t="s">
        <v>135</v>
      </c>
      <c r="N62" s="114" t="s">
        <v>136</v>
      </c>
      <c r="O62" s="144" t="s">
        <v>137</v>
      </c>
      <c r="P62" s="2"/>
    </row>
    <row r="63" spans="1:16" x14ac:dyDescent="0.25">
      <c r="A63" s="161">
        <v>1</v>
      </c>
      <c r="B63" s="162">
        <v>1.0044999999999999</v>
      </c>
      <c r="C63" s="163">
        <v>0.9879</v>
      </c>
      <c r="D63" s="162">
        <v>5.7394999999999996</v>
      </c>
      <c r="E63" s="163">
        <v>5.4817999999999998</v>
      </c>
      <c r="F63" s="163">
        <v>2.5198999999999998</v>
      </c>
      <c r="G63" s="163">
        <v>2.4331999999999998</v>
      </c>
      <c r="H63" s="94">
        <f t="shared" ref="H63:I70" si="19">(F63-B63)*100/(D63-B63)</f>
        <v>32.004223864836327</v>
      </c>
      <c r="I63" s="94">
        <f t="shared" si="19"/>
        <v>32.16137430739446</v>
      </c>
      <c r="J63" s="164">
        <f t="shared" ref="J63" si="20">AVERAGE(H63:I63)</f>
        <v>32.082799086115394</v>
      </c>
      <c r="K63" s="151"/>
      <c r="L63" s="151"/>
      <c r="M63" s="164">
        <f t="shared" ref="M63:N63" si="21">((F63-K63)/D63)*100</f>
        <v>43.904521299764788</v>
      </c>
      <c r="N63" s="165">
        <f t="shared" si="21"/>
        <v>44.386880221824946</v>
      </c>
      <c r="O63" s="166">
        <f t="shared" ref="O63" si="22">AVERAGE(M63:N63)</f>
        <v>44.145700760794867</v>
      </c>
      <c r="P63" s="2"/>
    </row>
    <row r="64" spans="1:16" ht="16.5" thickBot="1" x14ac:dyDescent="0.3">
      <c r="A64" s="161">
        <v>2</v>
      </c>
      <c r="B64" s="163">
        <v>0.9859</v>
      </c>
      <c r="C64" s="162">
        <v>0.99850000000000005</v>
      </c>
      <c r="D64" s="163">
        <v>6.0491000000000001</v>
      </c>
      <c r="E64" s="162">
        <v>6.43</v>
      </c>
      <c r="F64" s="167">
        <v>2.6355</v>
      </c>
      <c r="G64" s="163">
        <v>2.7648999999999999</v>
      </c>
      <c r="H64" s="94">
        <f t="shared" si="19"/>
        <v>32.580186443355984</v>
      </c>
      <c r="I64" s="94">
        <f t="shared" si="19"/>
        <v>32.521402927368129</v>
      </c>
      <c r="J64" s="164">
        <f>AVERAGE(H64:I64)</f>
        <v>32.550794685362057</v>
      </c>
      <c r="K64" s="151"/>
      <c r="L64" s="151"/>
      <c r="M64" s="164">
        <f>((F64-K64)/D64)*100</f>
        <v>43.568464730290458</v>
      </c>
      <c r="N64" s="165">
        <f>((G64-L64)/E64)*100</f>
        <v>43</v>
      </c>
      <c r="O64" s="166">
        <f>AVERAGE(M64:N64)</f>
        <v>43.284232365145229</v>
      </c>
      <c r="P64" s="2"/>
    </row>
    <row r="65" spans="1:16" x14ac:dyDescent="0.25">
      <c r="A65" s="161">
        <v>3</v>
      </c>
      <c r="B65" s="162">
        <v>0.98850000000000005</v>
      </c>
      <c r="C65" s="168">
        <v>0.997</v>
      </c>
      <c r="D65" s="162">
        <v>6.0865</v>
      </c>
      <c r="E65" s="169">
        <v>6.0670999999999999</v>
      </c>
      <c r="F65" s="163">
        <v>2.6398000000000001</v>
      </c>
      <c r="G65" s="163">
        <v>2.6334</v>
      </c>
      <c r="H65" s="94">
        <f t="shared" si="19"/>
        <v>32.391133777952135</v>
      </c>
      <c r="I65" s="94">
        <f t="shared" si="19"/>
        <v>32.27549752470366</v>
      </c>
      <c r="J65" s="164">
        <f t="shared" ref="J65:J70" si="23">AVERAGE(H65:I65)</f>
        <v>32.333315651327894</v>
      </c>
      <c r="K65" s="151"/>
      <c r="L65" s="151"/>
      <c r="M65" s="164">
        <f>((F65-K65)/D65)*100</f>
        <v>43.371395711821251</v>
      </c>
      <c r="N65" s="164">
        <f>((G65-L65)/E65)*100</f>
        <v>43.404591979693755</v>
      </c>
      <c r="O65" s="166">
        <f t="shared" ref="O65:O67" si="24">AVERAGE(M65:N65)</f>
        <v>43.387993845757507</v>
      </c>
      <c r="P65" s="2"/>
    </row>
    <row r="66" spans="1:16" x14ac:dyDescent="0.25">
      <c r="A66" s="161">
        <v>4</v>
      </c>
      <c r="B66" s="163">
        <v>0.9899</v>
      </c>
      <c r="C66" s="162">
        <v>1.0212000000000001</v>
      </c>
      <c r="D66" s="163">
        <v>5.1554000000000002</v>
      </c>
      <c r="E66" s="162">
        <v>6.4198000000000004</v>
      </c>
      <c r="F66" s="170">
        <v>2.3229000000000002</v>
      </c>
      <c r="G66" s="163">
        <v>2.7313000000000001</v>
      </c>
      <c r="H66" s="94">
        <f t="shared" si="19"/>
        <v>32.000960268875289</v>
      </c>
      <c r="I66" s="94">
        <f t="shared" si="19"/>
        <v>31.676731004334457</v>
      </c>
      <c r="J66" s="164">
        <f t="shared" si="23"/>
        <v>31.838845636604873</v>
      </c>
      <c r="K66" s="151"/>
      <c r="L66" s="151"/>
      <c r="M66" s="164">
        <f>((F66-K66)/D67)*100</f>
        <v>39.564987821702921</v>
      </c>
      <c r="N66" s="165">
        <f>((G66-L66)/E65)*100</f>
        <v>45.018212984786807</v>
      </c>
      <c r="O66" s="166">
        <f t="shared" si="24"/>
        <v>42.291600403244864</v>
      </c>
      <c r="P66" s="2"/>
    </row>
    <row r="67" spans="1:16" x14ac:dyDescent="0.25">
      <c r="A67" s="161">
        <v>5</v>
      </c>
      <c r="B67" s="162">
        <v>1.004</v>
      </c>
      <c r="C67" s="163">
        <v>0.99919999999999998</v>
      </c>
      <c r="D67" s="171">
        <v>5.8711000000000002</v>
      </c>
      <c r="E67" s="163">
        <v>6.3391000000000002</v>
      </c>
      <c r="F67" s="163">
        <v>2.5495000000000001</v>
      </c>
      <c r="G67" s="163">
        <v>2.7002999999999999</v>
      </c>
      <c r="H67" s="94">
        <f t="shared" si="19"/>
        <v>31.754021902159394</v>
      </c>
      <c r="I67" s="94">
        <f t="shared" si="19"/>
        <v>31.856401805277248</v>
      </c>
      <c r="J67" s="164">
        <f t="shared" si="23"/>
        <v>31.805211853718319</v>
      </c>
      <c r="K67" s="151"/>
      <c r="L67" s="151"/>
      <c r="M67" s="164">
        <f>((F67-K67)/D90)*100</f>
        <v>43.424571204714617</v>
      </c>
      <c r="N67" s="165">
        <f>((G67-L67)/E66)*100</f>
        <v>42.062058008037631</v>
      </c>
      <c r="O67" s="166">
        <f t="shared" si="24"/>
        <v>42.743314606376124</v>
      </c>
      <c r="P67" s="2"/>
    </row>
    <row r="68" spans="1:16" x14ac:dyDescent="0.25">
      <c r="A68" s="161"/>
      <c r="B68" s="172">
        <v>0.99099999999999999</v>
      </c>
      <c r="C68" s="169">
        <v>1.004</v>
      </c>
      <c r="D68" s="169">
        <v>6.1707000000000001</v>
      </c>
      <c r="E68" s="169">
        <v>5.8765000000000001</v>
      </c>
      <c r="F68" s="169">
        <v>2.6642000000000001</v>
      </c>
      <c r="G68" s="169">
        <v>2.5871</v>
      </c>
      <c r="H68" s="173">
        <f t="shared" si="19"/>
        <v>32.303029132961363</v>
      </c>
      <c r="I68" s="94">
        <f t="shared" si="19"/>
        <v>32.4905079527963</v>
      </c>
      <c r="J68" s="164">
        <f t="shared" si="23"/>
        <v>32.396768542878831</v>
      </c>
      <c r="K68" s="151"/>
      <c r="L68" s="151"/>
      <c r="M68" s="164"/>
      <c r="N68" s="165"/>
      <c r="O68" s="166"/>
      <c r="P68" s="2"/>
    </row>
    <row r="69" spans="1:16" x14ac:dyDescent="0.25">
      <c r="A69" s="174" t="s">
        <v>138</v>
      </c>
      <c r="B69" s="175">
        <v>1.0302</v>
      </c>
      <c r="C69" s="169">
        <v>0.99129999999999996</v>
      </c>
      <c r="D69" s="169">
        <v>5.3262</v>
      </c>
      <c r="E69" s="169">
        <v>5.0174000000000003</v>
      </c>
      <c r="F69" s="169">
        <v>2.3296999999999999</v>
      </c>
      <c r="G69" s="169">
        <v>2.2277</v>
      </c>
      <c r="H69" s="173">
        <f t="shared" si="19"/>
        <v>30.249068901303534</v>
      </c>
      <c r="I69" s="94">
        <f t="shared" si="19"/>
        <v>30.709619731253571</v>
      </c>
      <c r="J69" s="164">
        <f t="shared" si="23"/>
        <v>30.479344316278553</v>
      </c>
      <c r="K69" s="176"/>
      <c r="L69" s="176"/>
      <c r="M69" s="164">
        <f t="shared" ref="M69:N70" si="25">((F69-K69)/D69)*100</f>
        <v>43.740377755247636</v>
      </c>
      <c r="N69" s="165">
        <f t="shared" si="25"/>
        <v>44.399489775580975</v>
      </c>
      <c r="O69" s="166">
        <f t="shared" ref="O69:O70" si="26">AVERAGE(M69:N69)</f>
        <v>44.069933765414305</v>
      </c>
      <c r="P69" s="2"/>
    </row>
    <row r="70" spans="1:16" ht="16.5" thickBot="1" x14ac:dyDescent="0.3">
      <c r="A70" s="177" t="s">
        <v>139</v>
      </c>
      <c r="B70" s="178">
        <v>0.99719999999999998</v>
      </c>
      <c r="C70" s="169">
        <v>1.0051000000000001</v>
      </c>
      <c r="D70" s="169">
        <v>10.4413</v>
      </c>
      <c r="E70" s="169">
        <v>10.5265</v>
      </c>
      <c r="F70" s="169">
        <v>1.3299000000000001</v>
      </c>
      <c r="G70" s="169">
        <v>1.3364</v>
      </c>
      <c r="H70" s="173">
        <f t="shared" si="19"/>
        <v>3.5228343621943869</v>
      </c>
      <c r="I70" s="94">
        <f t="shared" si="19"/>
        <v>3.4795303211712558</v>
      </c>
      <c r="J70" s="164">
        <f t="shared" si="23"/>
        <v>3.5011823416828216</v>
      </c>
      <c r="K70" s="151"/>
      <c r="L70" s="179">
        <v>1.1214999999999999</v>
      </c>
      <c r="M70" s="180"/>
      <c r="N70" s="181">
        <f t="shared" si="25"/>
        <v>2.0415142735002147</v>
      </c>
      <c r="O70" s="182">
        <f t="shared" si="26"/>
        <v>2.0415142735002147</v>
      </c>
      <c r="P70" s="2"/>
    </row>
    <row r="71" spans="1:16" x14ac:dyDescent="0.25">
      <c r="A71" s="161"/>
      <c r="B71" s="163"/>
      <c r="C71" s="183"/>
      <c r="D71" s="183"/>
      <c r="E71" s="183"/>
      <c r="F71" s="184"/>
      <c r="G71" s="183"/>
      <c r="H71" s="164"/>
      <c r="I71" s="164"/>
      <c r="J71" s="164"/>
      <c r="K71" s="151"/>
      <c r="L71" s="151"/>
      <c r="M71" s="164"/>
      <c r="N71" s="165"/>
      <c r="O71" s="166"/>
      <c r="P71" s="2"/>
    </row>
    <row r="72" spans="1:16" x14ac:dyDescent="0.25">
      <c r="A72" s="2"/>
      <c r="B72" s="2"/>
      <c r="C72" s="2"/>
      <c r="D72" s="2"/>
      <c r="E72" s="2"/>
      <c r="F72" s="2"/>
      <c r="G72" s="2"/>
      <c r="H72" s="2"/>
      <c r="I72" s="2"/>
      <c r="J72" s="2"/>
      <c r="K72" s="2"/>
      <c r="L72" s="2"/>
      <c r="M72" s="2"/>
      <c r="N72" s="2"/>
      <c r="O72" s="2"/>
      <c r="P72" s="2"/>
    </row>
    <row r="73" spans="1:16" x14ac:dyDescent="0.25">
      <c r="A73" s="185" t="s">
        <v>140</v>
      </c>
      <c r="B73" s="186"/>
      <c r="C73" s="186"/>
      <c r="D73" s="186"/>
      <c r="E73" s="186"/>
      <c r="F73" s="186"/>
      <c r="G73" s="186"/>
      <c r="H73" s="186"/>
      <c r="I73" s="186"/>
      <c r="J73" s="186"/>
      <c r="K73" s="186"/>
      <c r="L73" s="186"/>
      <c r="M73" s="186"/>
      <c r="N73" s="186"/>
      <c r="O73" s="186"/>
      <c r="P73" s="186"/>
    </row>
    <row r="74" spans="1:16" ht="16.5" thickBot="1" x14ac:dyDescent="0.3">
      <c r="A74" s="186"/>
      <c r="B74" s="186"/>
      <c r="C74" s="186"/>
      <c r="D74" s="186"/>
      <c r="E74" s="186"/>
      <c r="F74" s="186"/>
      <c r="G74" s="186"/>
      <c r="H74" s="186"/>
      <c r="I74" s="186"/>
      <c r="J74" s="186"/>
      <c r="K74" s="186"/>
      <c r="L74" s="186"/>
      <c r="M74" s="186"/>
      <c r="N74" s="186"/>
      <c r="O74" s="186"/>
      <c r="P74" s="186"/>
    </row>
    <row r="75" spans="1:16" x14ac:dyDescent="0.25">
      <c r="A75" s="187" t="s">
        <v>109</v>
      </c>
      <c r="B75" s="188"/>
      <c r="C75" s="188"/>
      <c r="D75" s="188"/>
      <c r="E75" s="188"/>
      <c r="F75" s="188"/>
      <c r="G75" s="188"/>
      <c r="H75" s="188"/>
      <c r="I75" s="188"/>
      <c r="J75" s="188"/>
      <c r="K75" s="188"/>
      <c r="L75" s="188"/>
      <c r="M75" s="188"/>
      <c r="N75" s="188"/>
      <c r="O75" s="188"/>
      <c r="P75" s="188"/>
    </row>
    <row r="76" spans="1:16" ht="32.25" customHeight="1" x14ac:dyDescent="0.25">
      <c r="A76" s="112" t="s">
        <v>110</v>
      </c>
      <c r="B76" s="113" t="s">
        <v>111</v>
      </c>
      <c r="C76" s="113" t="s">
        <v>112</v>
      </c>
      <c r="D76" s="113" t="s">
        <v>113</v>
      </c>
      <c r="E76" s="113" t="s">
        <v>114</v>
      </c>
      <c r="F76" s="113" t="s">
        <v>115</v>
      </c>
      <c r="G76" s="113" t="s">
        <v>116</v>
      </c>
      <c r="H76" s="113" t="s">
        <v>117</v>
      </c>
      <c r="I76" s="113" t="s">
        <v>118</v>
      </c>
      <c r="J76" s="113" t="s">
        <v>119</v>
      </c>
      <c r="K76" s="113" t="s">
        <v>120</v>
      </c>
      <c r="L76" s="113" t="s">
        <v>121</v>
      </c>
      <c r="M76" s="113" t="s">
        <v>122</v>
      </c>
      <c r="N76" s="113" t="s">
        <v>123</v>
      </c>
      <c r="O76" s="113" t="s">
        <v>124</v>
      </c>
      <c r="P76" s="189" t="s">
        <v>125</v>
      </c>
    </row>
    <row r="77" spans="1:16" x14ac:dyDescent="0.25">
      <c r="A77" s="161">
        <v>1</v>
      </c>
      <c r="B77" s="190">
        <v>1.1136999999999999</v>
      </c>
      <c r="C77" s="191"/>
      <c r="D77" s="192">
        <v>10</v>
      </c>
      <c r="E77" s="192">
        <v>10</v>
      </c>
      <c r="F77" s="118">
        <v>1.1214</v>
      </c>
      <c r="G77" s="193"/>
      <c r="H77" s="192">
        <v>1</v>
      </c>
      <c r="I77" s="149">
        <f t="shared" ref="I77:I81" si="27">(F77-B77)*1000*H77/D77</f>
        <v>0.77000000000000401</v>
      </c>
      <c r="J77" s="149">
        <f t="shared" ref="J77:J81" si="28">(G77-C77)*1000*H77/E77</f>
        <v>0</v>
      </c>
      <c r="K77" s="150">
        <f t="shared" ref="K77:K80" si="29">AVERAGE(I77:J77)</f>
        <v>0.38500000000000201</v>
      </c>
      <c r="L77" s="141"/>
      <c r="M77" s="151"/>
      <c r="N77" s="152">
        <f t="shared" ref="N77:N81" si="30">(F77-L77)/E77*1000000</f>
        <v>112139.99999999999</v>
      </c>
      <c r="O77" s="153">
        <f>(G77-M77)/E77*1000000</f>
        <v>0</v>
      </c>
      <c r="P77" s="154">
        <f>AVERAGE(O77)</f>
        <v>0</v>
      </c>
    </row>
    <row r="78" spans="1:16" ht="15.75" customHeight="1" x14ac:dyDescent="0.25">
      <c r="A78" s="161">
        <v>2</v>
      </c>
      <c r="B78" s="190">
        <v>1.1158999999999999</v>
      </c>
      <c r="C78" s="191"/>
      <c r="D78" s="192">
        <v>10</v>
      </c>
      <c r="E78" s="192">
        <v>10</v>
      </c>
      <c r="F78" s="118">
        <v>1.1215999999999999</v>
      </c>
      <c r="G78" s="193"/>
      <c r="H78" s="192">
        <v>1</v>
      </c>
      <c r="I78" s="149">
        <f t="shared" si="27"/>
        <v>0.57000000000000384</v>
      </c>
      <c r="J78" s="149">
        <f t="shared" si="28"/>
        <v>0</v>
      </c>
      <c r="K78" s="150">
        <f t="shared" si="29"/>
        <v>0.28500000000000192</v>
      </c>
      <c r="L78" s="191"/>
      <c r="M78" s="151"/>
      <c r="N78" s="152">
        <f t="shared" si="30"/>
        <v>112160</v>
      </c>
      <c r="O78" s="153">
        <f>(G78-M78)/E78*1000000</f>
        <v>0</v>
      </c>
      <c r="P78" s="154">
        <f>AVERAGE(O78)</f>
        <v>0</v>
      </c>
    </row>
    <row r="79" spans="1:16" x14ac:dyDescent="0.25">
      <c r="A79" s="161">
        <v>3</v>
      </c>
      <c r="B79" s="194">
        <v>1.1122000000000001</v>
      </c>
      <c r="C79" s="194"/>
      <c r="D79" s="192">
        <v>10</v>
      </c>
      <c r="E79" s="192">
        <v>10</v>
      </c>
      <c r="F79" s="193">
        <v>1.1191</v>
      </c>
      <c r="G79" s="193"/>
      <c r="H79" s="192">
        <v>1</v>
      </c>
      <c r="I79" s="149">
        <f t="shared" si="27"/>
        <v>0.68999999999999062</v>
      </c>
      <c r="J79" s="149">
        <f t="shared" si="28"/>
        <v>0</v>
      </c>
      <c r="K79" s="150">
        <f t="shared" si="29"/>
        <v>0.34499999999999531</v>
      </c>
      <c r="L79" s="194"/>
      <c r="M79" s="151"/>
      <c r="N79" s="152">
        <f t="shared" si="30"/>
        <v>111910</v>
      </c>
      <c r="O79" s="153">
        <f>(G79-M79)/E79*1000000</f>
        <v>0</v>
      </c>
      <c r="P79" s="154">
        <f>AVERAGE(N79:O79)</f>
        <v>55955</v>
      </c>
    </row>
    <row r="80" spans="1:16" x14ac:dyDescent="0.25">
      <c r="A80" s="161">
        <v>4</v>
      </c>
      <c r="B80" s="195">
        <v>1.1252</v>
      </c>
      <c r="C80" s="196"/>
      <c r="D80" s="192">
        <v>10</v>
      </c>
      <c r="E80" s="192">
        <v>10</v>
      </c>
      <c r="F80" s="193">
        <v>1.1315999999999999</v>
      </c>
      <c r="G80" s="193"/>
      <c r="H80" s="192">
        <v>1</v>
      </c>
      <c r="I80" s="149">
        <f t="shared" si="27"/>
        <v>0.63999999999999613</v>
      </c>
      <c r="J80" s="149">
        <f t="shared" si="28"/>
        <v>0</v>
      </c>
      <c r="K80" s="150">
        <f t="shared" si="29"/>
        <v>0.31999999999999806</v>
      </c>
      <c r="L80" s="151"/>
      <c r="M80" s="151"/>
      <c r="N80" s="152">
        <f t="shared" si="30"/>
        <v>113160</v>
      </c>
      <c r="O80" s="153">
        <f>(G80-M80)/E80*1000000</f>
        <v>0</v>
      </c>
      <c r="P80" s="154">
        <f>AVERAGE(N80:O80)</f>
        <v>56580</v>
      </c>
    </row>
    <row r="81" spans="1:52" x14ac:dyDescent="0.25">
      <c r="A81" s="161">
        <v>5</v>
      </c>
      <c r="B81" s="118">
        <v>1.1227</v>
      </c>
      <c r="C81" s="197"/>
      <c r="D81" s="192">
        <v>10</v>
      </c>
      <c r="E81" s="192">
        <v>10</v>
      </c>
      <c r="F81" s="118">
        <v>1.127</v>
      </c>
      <c r="G81" s="193"/>
      <c r="H81" s="192">
        <v>1</v>
      </c>
      <c r="I81" s="149">
        <f t="shared" si="27"/>
        <v>0.42999999999999705</v>
      </c>
      <c r="J81" s="149">
        <f t="shared" si="28"/>
        <v>0</v>
      </c>
      <c r="K81" s="150">
        <f>AVERAGE(I81:J81)</f>
        <v>0.21499999999999853</v>
      </c>
      <c r="L81" s="141"/>
      <c r="M81" s="151"/>
      <c r="N81" s="152">
        <f t="shared" si="30"/>
        <v>112700</v>
      </c>
      <c r="O81" s="153">
        <f>(G81-M81)/E81*1000000</f>
        <v>0</v>
      </c>
      <c r="P81" s="154">
        <f>AVERAGE(O81)</f>
        <v>0</v>
      </c>
    </row>
    <row r="82" spans="1:52" x14ac:dyDescent="0.25">
      <c r="A82" s="161">
        <v>6</v>
      </c>
      <c r="B82" s="190">
        <v>1.1102000000000001</v>
      </c>
      <c r="C82" s="191"/>
      <c r="D82" s="192">
        <v>10</v>
      </c>
      <c r="E82" s="192">
        <v>10</v>
      </c>
      <c r="F82" s="118">
        <v>1.1146</v>
      </c>
      <c r="G82" s="193"/>
      <c r="H82" s="192">
        <v>1</v>
      </c>
      <c r="I82" s="149">
        <f>(F82-B82)*1000*H82/D82</f>
        <v>0.43999999999999595</v>
      </c>
      <c r="J82" s="149">
        <f>(G82-C82)*1000*H82/E82</f>
        <v>0</v>
      </c>
      <c r="K82" s="150">
        <f>AVERAGE(I82:J82)</f>
        <v>0.21999999999999797</v>
      </c>
      <c r="L82" s="141"/>
      <c r="M82" s="151"/>
      <c r="N82" s="152"/>
      <c r="O82" s="153"/>
      <c r="P82" s="154"/>
      <c r="Q82" s="2"/>
      <c r="R82" s="2"/>
      <c r="S82" s="2"/>
      <c r="T82" s="2"/>
      <c r="U82" s="27"/>
      <c r="V82" s="27"/>
      <c r="W82" s="27"/>
      <c r="X82" s="27"/>
      <c r="Y82" s="27"/>
      <c r="Z82" s="27"/>
      <c r="AA82" s="27"/>
      <c r="AB82" s="27"/>
      <c r="AC82" s="27"/>
      <c r="AD82" s="27"/>
      <c r="AE82" s="27"/>
      <c r="AF82" s="27"/>
      <c r="AG82" s="27"/>
      <c r="AH82" s="27"/>
      <c r="AI82" s="27"/>
      <c r="AJ82" s="27"/>
      <c r="AK82" s="27"/>
      <c r="AL82" s="198"/>
      <c r="AM82" s="2"/>
      <c r="AN82" s="2"/>
      <c r="AO82" s="2"/>
      <c r="AP82" s="2"/>
      <c r="AQ82" s="2"/>
      <c r="AR82" s="2"/>
      <c r="AS82" s="2"/>
      <c r="AT82" s="2"/>
      <c r="AU82" s="2"/>
      <c r="AV82" s="2"/>
      <c r="AW82" s="2"/>
      <c r="AX82" s="2"/>
      <c r="AY82" s="2"/>
      <c r="AZ82" s="2"/>
    </row>
    <row r="83" spans="1:52" ht="15.75" customHeight="1" thickBot="1" x14ac:dyDescent="0.3">
      <c r="A83" s="177" t="s">
        <v>126</v>
      </c>
      <c r="B83" s="196">
        <v>1.1117999999999999</v>
      </c>
      <c r="C83" s="196"/>
      <c r="D83" s="192">
        <v>10</v>
      </c>
      <c r="E83" s="192">
        <v>10</v>
      </c>
      <c r="F83" s="193">
        <v>1.1158999999999999</v>
      </c>
      <c r="G83" s="199"/>
      <c r="H83" s="192">
        <v>1</v>
      </c>
      <c r="I83" s="149">
        <f t="shared" ref="I83" si="31">(F83-B83)*1000*H83/D83</f>
        <v>0.40999999999999925</v>
      </c>
      <c r="J83" s="149">
        <f t="shared" ref="J83" si="32">(G83-C83)*1000*H83/E83</f>
        <v>0</v>
      </c>
      <c r="K83" s="150">
        <f t="shared" ref="K83" si="33">AVERAGE(I83:J83)</f>
        <v>0.20499999999999963</v>
      </c>
      <c r="L83" s="151"/>
      <c r="M83" s="157"/>
      <c r="N83" s="152">
        <f t="shared" ref="N83" si="34">(F83-L83)/E83*1000000</f>
        <v>111590</v>
      </c>
      <c r="O83" s="153">
        <f>(G83-M83)/E83*1000000</f>
        <v>0</v>
      </c>
      <c r="P83" s="154">
        <f>AVERAGE(O83)</f>
        <v>0</v>
      </c>
      <c r="Q83" s="2"/>
      <c r="R83" s="2"/>
      <c r="S83" s="2"/>
      <c r="T83" s="2"/>
      <c r="U83" s="27"/>
      <c r="V83" s="27"/>
      <c r="W83" s="27"/>
      <c r="X83" s="27"/>
      <c r="Y83" s="27"/>
      <c r="Z83" s="27"/>
      <c r="AA83" s="27"/>
      <c r="AB83" s="27"/>
      <c r="AC83" s="27"/>
      <c r="AD83" s="27"/>
      <c r="AE83" s="27"/>
      <c r="AF83" s="27"/>
      <c r="AG83" s="27"/>
      <c r="AH83" s="27"/>
      <c r="AI83" s="27"/>
      <c r="AJ83" s="27"/>
      <c r="AK83" s="27"/>
      <c r="AL83" s="198"/>
      <c r="AM83" s="2"/>
      <c r="AN83" s="2"/>
      <c r="AO83" s="2"/>
      <c r="AP83" s="2"/>
      <c r="AQ83" s="2"/>
      <c r="AR83" s="2"/>
      <c r="AS83" s="2"/>
      <c r="AT83" s="2"/>
      <c r="AU83" s="2"/>
      <c r="AV83" s="2"/>
      <c r="AW83" s="2"/>
      <c r="AX83" s="2"/>
      <c r="AY83" s="2"/>
      <c r="AZ83" s="2"/>
    </row>
    <row r="84" spans="1:52" x14ac:dyDescent="0.25">
      <c r="A84" s="200" t="s">
        <v>127</v>
      </c>
      <c r="B84" s="201"/>
      <c r="C84" s="201"/>
      <c r="D84" s="201"/>
      <c r="E84" s="201"/>
      <c r="F84" s="201"/>
      <c r="G84" s="201"/>
      <c r="H84" s="201"/>
      <c r="I84" s="201"/>
      <c r="J84" s="201"/>
      <c r="K84" s="201"/>
      <c r="L84" s="201"/>
      <c r="M84" s="201"/>
      <c r="N84" s="201"/>
      <c r="O84" s="202"/>
      <c r="P84" s="2"/>
      <c r="Q84" s="2"/>
      <c r="R84" s="2"/>
      <c r="S84" s="2"/>
      <c r="T84" s="2"/>
      <c r="U84" s="27"/>
      <c r="V84" s="27"/>
      <c r="W84" s="27"/>
      <c r="X84" s="27"/>
      <c r="Y84" s="27"/>
      <c r="Z84" s="27"/>
      <c r="AA84" s="27"/>
      <c r="AB84" s="27"/>
      <c r="AC84" s="27"/>
      <c r="AD84" s="27"/>
      <c r="AE84" s="27"/>
      <c r="AF84" s="27"/>
      <c r="AG84" s="27"/>
      <c r="AH84" s="27"/>
      <c r="AI84" s="27"/>
      <c r="AJ84" s="27"/>
      <c r="AK84" s="27"/>
      <c r="AL84" s="27"/>
      <c r="AM84" s="2"/>
      <c r="AN84" s="2"/>
      <c r="AO84" s="2"/>
      <c r="AP84" s="2"/>
      <c r="AQ84" s="2"/>
      <c r="AR84" s="2"/>
      <c r="AS84" s="2"/>
      <c r="AT84" s="2"/>
      <c r="AU84" s="2"/>
      <c r="AV84" s="2"/>
      <c r="AW84" s="2"/>
      <c r="AX84" s="2"/>
      <c r="AY84" s="2"/>
      <c r="AZ84" s="2"/>
    </row>
    <row r="85" spans="1:52" x14ac:dyDescent="0.25">
      <c r="A85" s="112" t="s">
        <v>110</v>
      </c>
      <c r="B85" s="113" t="s">
        <v>141</v>
      </c>
      <c r="C85" s="113" t="s">
        <v>129</v>
      </c>
      <c r="D85" s="113" t="s">
        <v>142</v>
      </c>
      <c r="E85" s="113" t="s">
        <v>131</v>
      </c>
      <c r="F85" s="113" t="s">
        <v>143</v>
      </c>
      <c r="G85" s="113" t="s">
        <v>116</v>
      </c>
      <c r="H85" s="113" t="s">
        <v>132</v>
      </c>
      <c r="I85" s="113" t="s">
        <v>133</v>
      </c>
      <c r="J85" s="113" t="s">
        <v>134</v>
      </c>
      <c r="K85" s="113" t="s">
        <v>121</v>
      </c>
      <c r="L85" s="113"/>
      <c r="M85" s="113" t="s">
        <v>135</v>
      </c>
      <c r="N85" s="113" t="s">
        <v>136</v>
      </c>
      <c r="O85" s="189" t="s">
        <v>137</v>
      </c>
      <c r="P85" s="2"/>
      <c r="Q85" s="2"/>
      <c r="R85" s="2"/>
      <c r="S85" s="2"/>
      <c r="T85" s="2"/>
      <c r="U85" s="27"/>
      <c r="V85" s="27"/>
      <c r="W85" s="27"/>
      <c r="X85" s="27"/>
      <c r="Y85" s="27"/>
      <c r="Z85" s="27"/>
      <c r="AA85" s="27"/>
      <c r="AB85" s="27"/>
      <c r="AC85" s="27"/>
      <c r="AD85" s="27"/>
      <c r="AE85" s="27"/>
      <c r="AF85" s="27"/>
      <c r="AG85" s="27"/>
      <c r="AH85" s="27"/>
      <c r="AI85" s="27"/>
      <c r="AJ85" s="27"/>
      <c r="AK85" s="27"/>
      <c r="AL85" s="198"/>
      <c r="AM85" s="2"/>
      <c r="AN85" s="2"/>
      <c r="AO85" s="2"/>
      <c r="AP85" s="2"/>
      <c r="AQ85" s="2"/>
      <c r="AR85" s="2"/>
      <c r="AS85" s="2"/>
      <c r="AT85" s="2"/>
      <c r="AU85" s="2"/>
      <c r="AV85" s="2"/>
      <c r="AW85" s="2"/>
      <c r="AX85" s="2"/>
      <c r="AY85" s="2"/>
      <c r="AZ85" s="2"/>
    </row>
    <row r="86" spans="1:52" x14ac:dyDescent="0.25">
      <c r="A86" s="161">
        <v>1</v>
      </c>
      <c r="B86" s="162">
        <v>1.0044999999999999</v>
      </c>
      <c r="C86" s="162"/>
      <c r="D86" s="162">
        <v>5.7394999999999996</v>
      </c>
      <c r="E86" s="167"/>
      <c r="F86" s="163">
        <v>2.5198999999999998</v>
      </c>
      <c r="G86" s="163"/>
      <c r="H86" s="94">
        <f t="shared" ref="H86:I93" si="35">(F86-B86)*100/(D86-B86)</f>
        <v>32.004223864836327</v>
      </c>
      <c r="I86" s="94" t="e">
        <f t="shared" si="35"/>
        <v>#DIV/0!</v>
      </c>
      <c r="J86" s="164" t="e">
        <f>AVERAGE(H86:I86)</f>
        <v>#DIV/0!</v>
      </c>
      <c r="K86" s="151"/>
      <c r="L86" s="151"/>
      <c r="M86" s="164">
        <f t="shared" ref="M86:N88" si="36">((F86-K86)/D86)*100</f>
        <v>43.904521299764788</v>
      </c>
      <c r="N86" s="165" t="e">
        <f t="shared" si="36"/>
        <v>#DIV/0!</v>
      </c>
      <c r="O86" s="166" t="e">
        <f t="shared" ref="O86:O93" si="37">AVERAGE(M86:N86)</f>
        <v>#DIV/0!</v>
      </c>
      <c r="P86" s="2"/>
      <c r="Q86" s="2"/>
      <c r="R86" s="2"/>
      <c r="S86" s="2"/>
      <c r="T86" s="2"/>
      <c r="U86" s="27"/>
      <c r="V86" s="27"/>
      <c r="W86" s="27"/>
      <c r="X86" s="27"/>
      <c r="Y86" s="27"/>
      <c r="Z86" s="27"/>
      <c r="AA86" s="27"/>
      <c r="AB86" s="27"/>
      <c r="AC86" s="27"/>
      <c r="AD86" s="27"/>
      <c r="AE86" s="27"/>
      <c r="AF86" s="27"/>
      <c r="AG86" s="27"/>
      <c r="AH86" s="27"/>
      <c r="AI86" s="27"/>
      <c r="AJ86" s="27"/>
      <c r="AK86" s="27"/>
      <c r="AL86" s="27"/>
      <c r="AM86" s="2"/>
      <c r="AN86" s="2"/>
      <c r="AO86" s="2"/>
      <c r="AP86" s="2"/>
      <c r="AQ86" s="2"/>
      <c r="AR86" s="2"/>
      <c r="AS86" s="2"/>
      <c r="AT86" s="2"/>
      <c r="AU86" s="2"/>
      <c r="AV86" s="2"/>
      <c r="AW86" s="2"/>
      <c r="AX86" s="2"/>
      <c r="AY86" s="2"/>
      <c r="AZ86" s="2"/>
    </row>
    <row r="87" spans="1:52" x14ac:dyDescent="0.25">
      <c r="A87" s="161">
        <v>2</v>
      </c>
      <c r="B87" s="162">
        <v>0.99850000000000005</v>
      </c>
      <c r="C87" s="162"/>
      <c r="D87" s="162">
        <v>6.43</v>
      </c>
      <c r="E87" s="167"/>
      <c r="F87" s="163">
        <v>2.7648999999999999</v>
      </c>
      <c r="G87" s="163"/>
      <c r="H87" s="94">
        <f t="shared" si="35"/>
        <v>32.521402927368129</v>
      </c>
      <c r="I87" s="94" t="e">
        <f t="shared" si="35"/>
        <v>#DIV/0!</v>
      </c>
      <c r="J87" s="164" t="e">
        <f>AVERAGE(H87:I87)</f>
        <v>#DIV/0!</v>
      </c>
      <c r="K87" s="151"/>
      <c r="L87" s="151"/>
      <c r="M87" s="164">
        <f t="shared" si="36"/>
        <v>43</v>
      </c>
      <c r="N87" s="165" t="e">
        <f t="shared" si="36"/>
        <v>#DIV/0!</v>
      </c>
      <c r="O87" s="166" t="e">
        <f t="shared" si="37"/>
        <v>#DIV/0!</v>
      </c>
      <c r="P87" s="2"/>
      <c r="Q87" s="2"/>
      <c r="R87" s="2"/>
      <c r="S87" s="2"/>
      <c r="T87" s="2"/>
      <c r="U87" s="27"/>
      <c r="V87" s="27"/>
      <c r="W87" s="27"/>
      <c r="X87" s="27"/>
      <c r="Y87" s="27"/>
      <c r="Z87" s="27"/>
      <c r="AA87" s="27"/>
      <c r="AB87" s="27"/>
      <c r="AC87" s="27"/>
      <c r="AD87" s="27"/>
      <c r="AE87" s="27"/>
      <c r="AF87" s="27"/>
      <c r="AG87" s="27"/>
      <c r="AH87" s="27"/>
      <c r="AI87" s="27"/>
      <c r="AJ87" s="27"/>
      <c r="AK87" s="27"/>
      <c r="AL87" s="27"/>
      <c r="AM87" s="2"/>
      <c r="AN87" s="2"/>
      <c r="AO87" s="2"/>
      <c r="AP87" s="2"/>
      <c r="AQ87" s="2"/>
      <c r="AR87" s="2"/>
      <c r="AS87" s="2"/>
      <c r="AT87" s="2"/>
      <c r="AU87" s="2"/>
      <c r="AV87" s="2"/>
      <c r="AW87" s="2"/>
      <c r="AX87" s="2"/>
      <c r="AY87" s="2"/>
      <c r="AZ87" s="2"/>
    </row>
    <row r="88" spans="1:52" x14ac:dyDescent="0.25">
      <c r="A88" s="161">
        <v>3</v>
      </c>
      <c r="B88" s="162">
        <v>0.98680000000000001</v>
      </c>
      <c r="C88" s="162"/>
      <c r="D88" s="162">
        <v>6.2088000000000001</v>
      </c>
      <c r="E88" s="170"/>
      <c r="F88" s="163">
        <v>2.6385999999999998</v>
      </c>
      <c r="G88" s="169"/>
      <c r="H88" s="94">
        <f t="shared" si="35"/>
        <v>31.631558789735728</v>
      </c>
      <c r="I88" s="94" t="e">
        <f t="shared" si="35"/>
        <v>#DIV/0!</v>
      </c>
      <c r="J88" s="164" t="e">
        <f>AVERAGE(I88)</f>
        <v>#DIV/0!</v>
      </c>
      <c r="K88" s="151"/>
      <c r="L88" s="151"/>
      <c r="M88" s="164">
        <f t="shared" si="36"/>
        <v>42.497745135936086</v>
      </c>
      <c r="N88" s="164" t="e">
        <f t="shared" si="36"/>
        <v>#DIV/0!</v>
      </c>
      <c r="O88" s="166" t="e">
        <f t="shared" si="37"/>
        <v>#DIV/0!</v>
      </c>
      <c r="P88" s="2"/>
      <c r="Q88" s="2"/>
      <c r="R88" s="2"/>
      <c r="S88" s="2"/>
      <c r="T88" s="2"/>
      <c r="U88" s="27"/>
      <c r="V88" s="27"/>
      <c r="W88" s="27"/>
      <c r="X88" s="27"/>
      <c r="Y88" s="27"/>
      <c r="Z88" s="27"/>
      <c r="AA88" s="27"/>
      <c r="AB88" s="27"/>
      <c r="AC88" s="27"/>
      <c r="AD88" s="27"/>
      <c r="AE88" s="27"/>
      <c r="AF88" s="27"/>
      <c r="AG88" s="27"/>
      <c r="AH88" s="27"/>
      <c r="AI88" s="27"/>
      <c r="AJ88" s="27"/>
      <c r="AK88" s="27"/>
      <c r="AL88" s="198"/>
      <c r="AM88" s="2"/>
      <c r="AN88" s="2"/>
      <c r="AO88" s="2"/>
      <c r="AP88" s="2"/>
      <c r="AQ88" s="2"/>
      <c r="AR88" s="2"/>
      <c r="AS88" s="2"/>
      <c r="AT88" s="2"/>
      <c r="AU88" s="2"/>
      <c r="AV88" s="2"/>
      <c r="AW88" s="2"/>
      <c r="AX88" s="2"/>
      <c r="AY88" s="2"/>
      <c r="AZ88" s="2"/>
    </row>
    <row r="89" spans="1:52" x14ac:dyDescent="0.25">
      <c r="A89" s="161">
        <v>4</v>
      </c>
      <c r="B89" s="162">
        <v>1.0212000000000001</v>
      </c>
      <c r="C89" s="162"/>
      <c r="D89" s="162">
        <v>6.4198000000000004</v>
      </c>
      <c r="E89" s="170"/>
      <c r="F89" s="163">
        <v>2.7313000000000001</v>
      </c>
      <c r="G89" s="169"/>
      <c r="H89" s="94">
        <f t="shared" si="35"/>
        <v>31.676731004334457</v>
      </c>
      <c r="I89" s="94" t="e">
        <f>(G89-C90)*100/(E89-C90)</f>
        <v>#DIV/0!</v>
      </c>
      <c r="J89" s="164" t="e">
        <f t="shared" ref="J89:J90" si="38">AVERAGE(H89:I89)</f>
        <v>#DIV/0!</v>
      </c>
      <c r="K89" s="151"/>
      <c r="L89" s="151"/>
      <c r="M89" s="164" t="e">
        <f>((F89-K89)/#REF!)*100</f>
        <v>#REF!</v>
      </c>
      <c r="N89" s="165" t="e">
        <f>((G89-L89)/E88)*100</f>
        <v>#DIV/0!</v>
      </c>
      <c r="O89" s="166" t="e">
        <f t="shared" si="37"/>
        <v>#REF!</v>
      </c>
      <c r="P89" s="2"/>
      <c r="Q89" s="2"/>
      <c r="R89" s="2"/>
      <c r="S89" s="2"/>
      <c r="T89" s="2"/>
      <c r="U89" s="27"/>
      <c r="V89" s="27"/>
      <c r="W89" s="27"/>
      <c r="X89" s="27"/>
      <c r="Y89" s="27"/>
      <c r="Z89" s="27"/>
      <c r="AA89" s="27"/>
      <c r="AB89" s="27"/>
      <c r="AC89" s="27"/>
      <c r="AD89" s="27"/>
      <c r="AE89" s="27"/>
      <c r="AF89" s="27"/>
      <c r="AG89" s="27"/>
      <c r="AH89" s="27"/>
      <c r="AI89" s="27"/>
      <c r="AJ89" s="27"/>
      <c r="AK89" s="27"/>
      <c r="AL89" s="27"/>
      <c r="AM89" s="2"/>
      <c r="AN89" s="2"/>
      <c r="AO89" s="2"/>
      <c r="AP89" s="2"/>
      <c r="AQ89" s="2"/>
      <c r="AR89" s="2"/>
      <c r="AS89" s="2"/>
      <c r="AT89" s="2"/>
      <c r="AU89" s="2"/>
      <c r="AV89" s="2"/>
      <c r="AW89" s="2"/>
      <c r="AX89" s="2"/>
      <c r="AY89" s="2"/>
      <c r="AZ89" s="2"/>
    </row>
    <row r="90" spans="1:52" x14ac:dyDescent="0.25">
      <c r="A90" s="161">
        <v>5</v>
      </c>
      <c r="B90" s="162">
        <v>1.004</v>
      </c>
      <c r="C90" s="162"/>
      <c r="D90" s="162">
        <v>5.8711000000000002</v>
      </c>
      <c r="E90" s="170"/>
      <c r="F90" s="163">
        <v>2.5495000000000001</v>
      </c>
      <c r="G90" s="169"/>
      <c r="H90" s="94">
        <f t="shared" si="35"/>
        <v>31.754021902159394</v>
      </c>
      <c r="I90" s="94" t="e">
        <f>(G90-#REF!)*100/(E90-#REF!)</f>
        <v>#REF!</v>
      </c>
      <c r="J90" s="164" t="e">
        <f t="shared" si="38"/>
        <v>#REF!</v>
      </c>
      <c r="K90" s="151"/>
      <c r="L90" s="151"/>
      <c r="M90" s="164" t="e">
        <f>((F90-K90)/#REF!)*100</f>
        <v>#REF!</v>
      </c>
      <c r="N90" s="165" t="e">
        <f>((G90-L90)/E90)*100</f>
        <v>#DIV/0!</v>
      </c>
      <c r="O90" s="166" t="e">
        <f t="shared" si="37"/>
        <v>#REF!</v>
      </c>
      <c r="P90" s="2"/>
      <c r="Q90" s="2"/>
      <c r="R90" s="2"/>
      <c r="S90" s="2"/>
      <c r="T90" s="2"/>
      <c r="U90" s="27"/>
      <c r="V90" s="27"/>
      <c r="W90" s="27"/>
      <c r="X90" s="27"/>
      <c r="Y90" s="27"/>
      <c r="Z90" s="27"/>
      <c r="AA90" s="27"/>
      <c r="AB90" s="27"/>
      <c r="AC90" s="27"/>
      <c r="AD90" s="27"/>
      <c r="AE90" s="27"/>
      <c r="AF90" s="27"/>
      <c r="AG90" s="27"/>
      <c r="AH90" s="27"/>
      <c r="AI90" s="27"/>
      <c r="AJ90" s="27"/>
      <c r="AK90" s="27"/>
      <c r="AL90" s="198"/>
      <c r="AM90" s="2"/>
      <c r="AN90" s="2"/>
      <c r="AO90" s="2"/>
      <c r="AP90" s="2"/>
      <c r="AQ90" s="2"/>
      <c r="AR90" s="2"/>
      <c r="AS90" s="2"/>
      <c r="AT90" s="2"/>
      <c r="AU90" s="2"/>
      <c r="AV90" s="2"/>
      <c r="AW90" s="2"/>
      <c r="AX90" s="2"/>
      <c r="AY90" s="2"/>
      <c r="AZ90" s="2"/>
    </row>
    <row r="91" spans="1:52" x14ac:dyDescent="0.25">
      <c r="A91" s="161">
        <v>6</v>
      </c>
      <c r="B91" s="162">
        <v>1.0018</v>
      </c>
      <c r="C91" s="162"/>
      <c r="D91" s="162">
        <v>7.5157999999999996</v>
      </c>
      <c r="E91" s="167"/>
      <c r="F91" s="163">
        <v>3.1259000000000001</v>
      </c>
      <c r="G91" s="163"/>
      <c r="H91" s="94">
        <f>(F91-B91)*100/(D91-B91)</f>
        <v>32.608228431071545</v>
      </c>
      <c r="I91" s="94" t="e">
        <f>(G91-#REF!)*100/(E91-#REF!)</f>
        <v>#REF!</v>
      </c>
      <c r="J91" s="164" t="e">
        <f>AVERAGE(H91:I91)</f>
        <v>#REF!</v>
      </c>
      <c r="K91" s="151"/>
      <c r="L91" s="151"/>
      <c r="M91" s="164"/>
      <c r="N91" s="165"/>
      <c r="O91" s="166"/>
      <c r="P91" s="2"/>
      <c r="Q91" s="2"/>
      <c r="R91" s="2"/>
      <c r="S91" s="2"/>
      <c r="T91" s="2"/>
      <c r="U91" s="27"/>
      <c r="V91" s="27"/>
      <c r="W91" s="27"/>
      <c r="X91" s="27"/>
      <c r="Y91" s="27"/>
      <c r="Z91" s="27"/>
      <c r="AA91" s="27"/>
      <c r="AB91" s="27"/>
      <c r="AC91" s="27"/>
      <c r="AD91" s="27"/>
      <c r="AE91" s="27"/>
      <c r="AF91" s="27"/>
      <c r="AG91" s="27"/>
      <c r="AH91" s="27"/>
      <c r="AI91" s="27"/>
      <c r="AJ91" s="27"/>
      <c r="AK91" s="27"/>
      <c r="AL91" s="27"/>
      <c r="AM91" s="2"/>
      <c r="AN91" s="2"/>
      <c r="AO91" s="2"/>
      <c r="AP91" s="2"/>
      <c r="AQ91" s="2"/>
      <c r="AR91" s="2"/>
      <c r="AS91" s="2"/>
      <c r="AT91" s="2"/>
      <c r="AU91" s="2"/>
      <c r="AV91" s="2"/>
      <c r="AW91" s="2"/>
      <c r="AX91" s="2"/>
      <c r="AY91" s="2"/>
      <c r="AZ91" s="2"/>
    </row>
    <row r="92" spans="1:52" x14ac:dyDescent="0.25">
      <c r="A92" s="203" t="s">
        <v>138</v>
      </c>
      <c r="B92" s="183">
        <v>0.99129999999999996</v>
      </c>
      <c r="C92" s="183"/>
      <c r="D92" s="183">
        <v>5.0174000000000003</v>
      </c>
      <c r="E92" s="163"/>
      <c r="F92" s="163">
        <v>2.2277</v>
      </c>
      <c r="G92" s="163"/>
      <c r="H92" s="94">
        <f t="shared" si="35"/>
        <v>30.709619731253571</v>
      </c>
      <c r="I92" s="94" t="e">
        <f t="shared" si="35"/>
        <v>#DIV/0!</v>
      </c>
      <c r="J92" s="164" t="e">
        <f t="shared" ref="J92:J93" si="39">AVERAGE(H92:I92)</f>
        <v>#DIV/0!</v>
      </c>
      <c r="K92" s="151"/>
      <c r="L92" s="176"/>
      <c r="M92" s="164">
        <f>((F92-K92)/D92)*100</f>
        <v>44.399489775580975</v>
      </c>
      <c r="N92" s="165" t="e">
        <f>((G92-L92)/E92)*100</f>
        <v>#DIV/0!</v>
      </c>
      <c r="O92" s="166" t="e">
        <f t="shared" si="37"/>
        <v>#DIV/0!</v>
      </c>
      <c r="P92" s="2"/>
      <c r="Q92" s="2"/>
      <c r="R92" s="2"/>
      <c r="S92" s="2"/>
      <c r="T92" s="2"/>
      <c r="U92" s="27"/>
      <c r="V92" s="27"/>
      <c r="W92" s="27"/>
      <c r="X92" s="27"/>
      <c r="Y92" s="27"/>
      <c r="Z92" s="27"/>
      <c r="AA92" s="27"/>
      <c r="AB92" s="27"/>
      <c r="AC92" s="27"/>
      <c r="AD92" s="27"/>
      <c r="AE92" s="27"/>
      <c r="AF92" s="27"/>
      <c r="AG92" s="27"/>
      <c r="AH92" s="27"/>
      <c r="AI92" s="27"/>
      <c r="AJ92" s="27"/>
      <c r="AK92" s="27"/>
      <c r="AL92" s="27"/>
      <c r="AM92" s="2"/>
      <c r="AN92" s="2"/>
      <c r="AO92" s="2"/>
      <c r="AP92" s="2"/>
      <c r="AQ92" s="2"/>
      <c r="AR92" s="2"/>
      <c r="AS92" s="2"/>
      <c r="AT92" s="2"/>
      <c r="AU92" s="2"/>
      <c r="AV92" s="2"/>
      <c r="AW92" s="2"/>
      <c r="AX92" s="2"/>
      <c r="AY92" s="2"/>
      <c r="AZ92" s="2"/>
    </row>
    <row r="93" spans="1:52" x14ac:dyDescent="0.25">
      <c r="A93" s="204" t="s">
        <v>139</v>
      </c>
      <c r="B93" s="163">
        <v>0.99719999999999998</v>
      </c>
      <c r="C93" s="163"/>
      <c r="D93" s="163">
        <v>10.212199999999999</v>
      </c>
      <c r="E93" s="163"/>
      <c r="F93" s="163">
        <v>1.3160000000000001</v>
      </c>
      <c r="G93" s="163"/>
      <c r="H93" s="205">
        <f t="shared" si="35"/>
        <v>3.4595767769940324</v>
      </c>
      <c r="I93" s="205" t="e">
        <f t="shared" si="35"/>
        <v>#DIV/0!</v>
      </c>
      <c r="J93" s="206" t="e">
        <f t="shared" si="39"/>
        <v>#DIV/0!</v>
      </c>
      <c r="K93" s="207">
        <v>1.1080000000000001</v>
      </c>
      <c r="L93" s="207"/>
      <c r="M93" s="206">
        <f>((F93-K93)/D93)*100</f>
        <v>2.0367795381994083</v>
      </c>
      <c r="N93" s="208" t="e">
        <f>((G93-L93)/E93)*100</f>
        <v>#DIV/0!</v>
      </c>
      <c r="O93" s="209" t="e">
        <f t="shared" si="37"/>
        <v>#DIV/0!</v>
      </c>
      <c r="P93" s="2"/>
      <c r="Q93" s="2"/>
      <c r="R93" s="2"/>
      <c r="S93" s="2"/>
      <c r="T93" s="2"/>
      <c r="U93" s="27"/>
      <c r="V93" s="27"/>
      <c r="W93" s="27"/>
      <c r="X93" s="27"/>
      <c r="Y93" s="27"/>
      <c r="Z93" s="27"/>
      <c r="AA93" s="27"/>
      <c r="AB93" s="27"/>
      <c r="AC93" s="27"/>
      <c r="AD93" s="27"/>
      <c r="AE93" s="27"/>
      <c r="AF93" s="27"/>
      <c r="AG93" s="27"/>
      <c r="AH93" s="27"/>
      <c r="AI93" s="27"/>
      <c r="AJ93" s="27"/>
      <c r="AK93" s="27"/>
      <c r="AL93" s="198"/>
      <c r="AM93" s="2"/>
      <c r="AN93" s="2"/>
      <c r="AO93" s="2"/>
      <c r="AP93" s="2"/>
      <c r="AQ93" s="2"/>
      <c r="AR93" s="2"/>
      <c r="AS93" s="2"/>
      <c r="AT93" s="2"/>
      <c r="AU93" s="2"/>
      <c r="AV93" s="2"/>
      <c r="AW93" s="2"/>
      <c r="AX93" s="2"/>
      <c r="AY93" s="2"/>
      <c r="AZ93" s="2"/>
    </row>
    <row r="94" spans="1:52" x14ac:dyDescent="0.25">
      <c r="A94" s="2"/>
      <c r="B94" s="2"/>
      <c r="C94" s="210"/>
      <c r="D94" s="210"/>
      <c r="E94" s="210"/>
      <c r="F94" s="210"/>
      <c r="G94" s="210"/>
      <c r="H94" s="210"/>
      <c r="I94" s="210"/>
      <c r="J94" s="210"/>
      <c r="K94" s="210"/>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x14ac:dyDescent="0.25">
      <c r="A95" s="2"/>
      <c r="B95" s="2"/>
      <c r="C95" s="210" t="s">
        <v>144</v>
      </c>
      <c r="D95" s="210"/>
      <c r="E95" s="210"/>
      <c r="F95" s="210"/>
      <c r="G95" s="210"/>
      <c r="H95" s="210"/>
      <c r="I95" s="210"/>
      <c r="J95" s="210"/>
      <c r="K95" s="210"/>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ht="16.5" thickBot="1" x14ac:dyDescent="0.3">
      <c r="A96" s="2"/>
      <c r="B96" s="2"/>
      <c r="C96" s="210"/>
      <c r="D96" s="210"/>
      <c r="E96" s="210"/>
      <c r="F96" s="210"/>
      <c r="G96" s="210"/>
      <c r="H96" s="210"/>
      <c r="I96" s="210"/>
      <c r="J96" s="210"/>
      <c r="K96" s="210"/>
      <c r="L96" s="2" t="s">
        <v>145</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s="233" customFormat="1" ht="99" customHeight="1" thickBot="1" x14ac:dyDescent="0.3">
      <c r="A97" s="211" t="s">
        <v>90</v>
      </c>
      <c r="B97" s="212" t="s">
        <v>146</v>
      </c>
      <c r="C97" s="212" t="s">
        <v>147</v>
      </c>
      <c r="D97" s="213" t="s">
        <v>148</v>
      </c>
      <c r="E97" s="214" t="s">
        <v>149</v>
      </c>
      <c r="F97" s="215" t="s">
        <v>150</v>
      </c>
      <c r="G97" s="216" t="s">
        <v>151</v>
      </c>
      <c r="H97" s="213" t="s">
        <v>152</v>
      </c>
      <c r="I97" s="217" t="s">
        <v>153</v>
      </c>
      <c r="J97" s="218" t="s">
        <v>154</v>
      </c>
      <c r="K97" s="218" t="s">
        <v>155</v>
      </c>
      <c r="L97" s="218" t="s">
        <v>156</v>
      </c>
      <c r="M97" s="219" t="s">
        <v>154</v>
      </c>
      <c r="N97" s="219" t="s">
        <v>155</v>
      </c>
      <c r="O97" s="219" t="s">
        <v>156</v>
      </c>
      <c r="P97" s="219" t="s">
        <v>157</v>
      </c>
      <c r="Q97" s="220" t="s">
        <v>158</v>
      </c>
      <c r="R97" s="221" t="s">
        <v>150</v>
      </c>
      <c r="S97" s="222" t="s">
        <v>151</v>
      </c>
      <c r="T97" s="222" t="s">
        <v>152</v>
      </c>
      <c r="U97" s="222" t="s">
        <v>153</v>
      </c>
      <c r="V97" s="222" t="s">
        <v>154</v>
      </c>
      <c r="W97" s="222" t="s">
        <v>155</v>
      </c>
      <c r="X97" s="222" t="s">
        <v>156</v>
      </c>
      <c r="Y97" s="223" t="s">
        <v>154</v>
      </c>
      <c r="Z97" s="223" t="s">
        <v>155</v>
      </c>
      <c r="AA97" s="223" t="s">
        <v>156</v>
      </c>
      <c r="AB97" s="224" t="s">
        <v>157</v>
      </c>
      <c r="AC97" s="225" t="s">
        <v>159</v>
      </c>
      <c r="AD97" s="226" t="s">
        <v>160</v>
      </c>
      <c r="AE97" s="226" t="s">
        <v>161</v>
      </c>
      <c r="AF97" s="226" t="s">
        <v>162</v>
      </c>
      <c r="AG97" s="226" t="s">
        <v>163</v>
      </c>
      <c r="AH97" s="226" t="s">
        <v>164</v>
      </c>
      <c r="AI97" s="213" t="s">
        <v>165</v>
      </c>
      <c r="AJ97" s="213" t="s">
        <v>166</v>
      </c>
      <c r="AK97" s="213" t="s">
        <v>167</v>
      </c>
      <c r="AL97" s="213" t="s">
        <v>168</v>
      </c>
      <c r="AM97" s="213" t="s">
        <v>169</v>
      </c>
      <c r="AN97" s="227" t="s">
        <v>170</v>
      </c>
      <c r="AO97" s="227" t="s">
        <v>171</v>
      </c>
      <c r="AP97" s="228" t="s">
        <v>172</v>
      </c>
      <c r="AQ97" s="227" t="s">
        <v>173</v>
      </c>
      <c r="AR97" s="229" t="s">
        <v>174</v>
      </c>
      <c r="AS97" s="215" t="s">
        <v>175</v>
      </c>
      <c r="AT97" s="213" t="s">
        <v>176</v>
      </c>
      <c r="AU97" s="213" t="s">
        <v>177</v>
      </c>
      <c r="AV97" s="213" t="s">
        <v>178</v>
      </c>
      <c r="AW97" s="229"/>
      <c r="AX97" s="230" t="s">
        <v>179</v>
      </c>
      <c r="AY97" s="231" t="s">
        <v>180</v>
      </c>
      <c r="AZ97" s="232" t="s">
        <v>181</v>
      </c>
    </row>
    <row r="98" spans="1:52" s="263" customFormat="1" x14ac:dyDescent="0.25">
      <c r="A98" s="234">
        <f>I33</f>
        <v>12.680526955622213</v>
      </c>
      <c r="B98" s="235" t="e">
        <f t="shared" ref="B98:B103" si="40">C42</f>
        <v>#DIV/0!</v>
      </c>
      <c r="C98" s="235">
        <f t="shared" ref="C98:C103" si="41">B42</f>
        <v>120.8</v>
      </c>
      <c r="D98" s="236">
        <f t="shared" ref="D98:D103" si="42">J63</f>
        <v>32.082799086115394</v>
      </c>
      <c r="E98" s="237">
        <f>K52*1000</f>
        <v>795.00000000000125</v>
      </c>
      <c r="F98" s="238" t="e">
        <f>AVERAGE(B98)</f>
        <v>#DIV/0!</v>
      </c>
      <c r="G98" s="235" t="e">
        <f t="shared" ref="G98:G103" si="43">(F98-B98)*100/F98</f>
        <v>#DIV/0!</v>
      </c>
      <c r="H98" s="235">
        <v>10</v>
      </c>
      <c r="I98" s="239"/>
      <c r="J98" s="217" t="e">
        <f>INDEX(A98:A102,MATCH(1,I98:I102,0))</f>
        <v>#N/A</v>
      </c>
      <c r="K98" s="217" t="e">
        <f>INDEX(D98:D103,MATCH(1,I99:I103,0))</f>
        <v>#N/A</v>
      </c>
      <c r="L98" s="217" t="e">
        <f>INDEX(E98:E103,MATCH(1,I99:I103,0))</f>
        <v>#N/A</v>
      </c>
      <c r="M98" s="217" t="e">
        <f>J98</f>
        <v>#N/A</v>
      </c>
      <c r="N98" s="217" t="e">
        <f>K98</f>
        <v>#N/A</v>
      </c>
      <c r="O98" s="217" t="e">
        <f>L98</f>
        <v>#N/A</v>
      </c>
      <c r="P98" s="240">
        <v>0</v>
      </c>
      <c r="Q98" s="241"/>
      <c r="R98" s="242">
        <f>AVERAGE(C98)</f>
        <v>120.8</v>
      </c>
      <c r="S98" s="243"/>
      <c r="T98" s="244"/>
      <c r="U98" s="245"/>
      <c r="V98" s="244">
        <f>INDEX(A98:A104,MATCH(1,U98:U105,0))</f>
        <v>15.222486798375112</v>
      </c>
      <c r="W98" s="244">
        <f>INDEX(D98:D104,MATCH(1,U98:U104,0))</f>
        <v>32.550794685362057</v>
      </c>
      <c r="X98" s="244">
        <f>INDEX(E98:E104,MATCH(1,U98:U103,0))</f>
        <v>675.00000000000341</v>
      </c>
      <c r="Y98" s="243">
        <f>IF(AB98=1,INDEX(A98:A102,MATCH(1,AX98:AX102,0)),V98)</f>
        <v>15.222486798375112</v>
      </c>
      <c r="Z98" s="243">
        <f>IF(AB98=1,INDEX(D98:D102,MATCH(1,AX98:AX102,0)),W98)</f>
        <v>32.550794685362057</v>
      </c>
      <c r="AA98" s="243">
        <f>IF(AB98=1,INDEX(E98:E102,MATCH(1,AX98:AX102,0)),X98)</f>
        <v>675.00000000000341</v>
      </c>
      <c r="AB98" s="246">
        <v>0</v>
      </c>
      <c r="AC98" s="247" t="str">
        <f>IF(A98&lt;$V$98,"",1)</f>
        <v/>
      </c>
      <c r="AD98" s="248" t="str">
        <f>IF(ISNUMBER(AC98),AC98*D98,"")</f>
        <v/>
      </c>
      <c r="AE98" s="249">
        <f>AVERAGE(INDEX(D98:D104, MATCH(1, U98:U104, 0)):D104)</f>
        <v>32.184987273978393</v>
      </c>
      <c r="AF98" s="250">
        <f>IF(ROW()=ROW(INDEX(AZ$98:AZ$105, MATCH(1, AZ$98:AZ$105, 0))), 3, AZ98)</f>
        <v>2</v>
      </c>
      <c r="AG98" s="251">
        <f>IF(INDEX(A98:A104,MATCH(3,AF98:AF105,0))&gt;V98,V98,INDEX(A98:A104,MATCH(3,AF98:AF105,0)))</f>
        <v>15.222486798375112</v>
      </c>
      <c r="AH98" s="251">
        <f>IF(INDEX(A98:A105,MATCH(3,AF98:AF105,0))&gt;V98,W98,INDEX(D98:D105,MATCH(3,AF98:AF105,0)))</f>
        <v>32.550794685362057</v>
      </c>
      <c r="AI98" s="251">
        <f>IF(INDEX(A98:A104,MATCH(3,AF98:AF105,0))&gt;V98,X98,INDEX(E98:E104,MATCH(3,AF98:AF105,0)))</f>
        <v>675.00000000000341</v>
      </c>
      <c r="AJ98" s="252">
        <v>1000</v>
      </c>
      <c r="AK98" s="253">
        <f>IF(AND(ISNUMBER(AG98), AG98&lt;AJ98), AI98,"")</f>
        <v>675.00000000000341</v>
      </c>
      <c r="AL98" s="254"/>
      <c r="AM98" s="253">
        <f>IF((AJ98&gt;AK98),1,2)</f>
        <v>1</v>
      </c>
      <c r="AN98" s="255">
        <f>IF(AQ98=1,INDEX(A98:A102,MATCH(1,AY98:AY102,0)),AG98)</f>
        <v>15.222486798375112</v>
      </c>
      <c r="AO98" s="254">
        <f>IF(AQ98=1,INDEX(D98:D102,MATCH(1,AY98:AY102,0)),AH98)</f>
        <v>32.550794685362057</v>
      </c>
      <c r="AP98" s="254">
        <f>IF(AQ98=1,INDEX(E98:E102,MATCH(1,AY98:AY102,0)),AI98)</f>
        <v>675.00000000000341</v>
      </c>
      <c r="AQ98" s="256">
        <v>0</v>
      </c>
      <c r="AR98" s="257"/>
      <c r="AS98" s="258">
        <f>D15</f>
        <v>23.857142857142858</v>
      </c>
      <c r="AT98" s="254">
        <f>J69</f>
        <v>30.479344316278553</v>
      </c>
      <c r="AU98" s="254">
        <f>K58*1000</f>
        <v>375.00000000000313</v>
      </c>
      <c r="AV98" s="254">
        <f>J70</f>
        <v>3.5011823416828216</v>
      </c>
      <c r="AW98" s="259"/>
      <c r="AX98" s="260"/>
      <c r="AY98" s="261"/>
      <c r="AZ98" s="262">
        <f>IF(E98&lt;$AJ$98,IF(D98&gt;$AE$100,IF(C98&lt;100,1,2),2),2)</f>
        <v>2</v>
      </c>
    </row>
    <row r="99" spans="1:52" s="263" customFormat="1" x14ac:dyDescent="0.25">
      <c r="A99" s="234">
        <f>I34</f>
        <v>15.222486798375112</v>
      </c>
      <c r="B99" s="235" t="e">
        <f t="shared" si="40"/>
        <v>#DIV/0!</v>
      </c>
      <c r="C99" s="235">
        <f t="shared" si="41"/>
        <v>70.949999999999989</v>
      </c>
      <c r="D99" s="236">
        <f t="shared" si="42"/>
        <v>32.550794685362057</v>
      </c>
      <c r="E99" s="237">
        <f t="shared" ref="E99:E103" si="44">K53*1000</f>
        <v>675.00000000000341</v>
      </c>
      <c r="F99" s="238" t="e">
        <f>AVERAGE(B98:B99)</f>
        <v>#DIV/0!</v>
      </c>
      <c r="G99" s="235" t="e">
        <f t="shared" si="43"/>
        <v>#DIV/0!</v>
      </c>
      <c r="H99" s="235">
        <v>10</v>
      </c>
      <c r="I99" s="217" t="e">
        <f>IF(AND(G98&gt;H98,G99&gt;H99),1,2)</f>
        <v>#DIV/0!</v>
      </c>
      <c r="J99" s="217"/>
      <c r="K99" s="217"/>
      <c r="L99" s="217"/>
      <c r="M99" s="239"/>
      <c r="N99" s="217"/>
      <c r="O99" s="217"/>
      <c r="P99" s="217"/>
      <c r="Q99" s="241"/>
      <c r="R99" s="242">
        <f>AVERAGE(C98:C99)</f>
        <v>95.875</v>
      </c>
      <c r="S99" s="243">
        <f>(R99-C99)*100/R99</f>
        <v>25.997392438070413</v>
      </c>
      <c r="T99" s="244">
        <v>10</v>
      </c>
      <c r="U99" s="264">
        <f>IF(AND(S99&gt;T99,S100&lt;T100),1,2)</f>
        <v>1</v>
      </c>
      <c r="V99" s="244"/>
      <c r="W99" s="244"/>
      <c r="X99" s="244"/>
      <c r="Y99" s="243"/>
      <c r="Z99" s="243"/>
      <c r="AA99" s="243"/>
      <c r="AB99" s="265"/>
      <c r="AC99" s="247">
        <f t="shared" ref="AC99:AC105" si="45">IF(A99&lt;$V$98,"",1)</f>
        <v>1</v>
      </c>
      <c r="AD99" s="248">
        <f t="shared" ref="AD99:AD105" si="46">IF(ISNUMBER(AC99),AC99*D99,"")</f>
        <v>32.550794685362057</v>
      </c>
      <c r="AE99" s="249">
        <f>_xlfn.STDEV.S(INDEX(D98:D104, MATCH(1, U98:U104, 0)):D104)</f>
        <v>0.34084860222860308</v>
      </c>
      <c r="AF99" s="250">
        <f t="shared" ref="AF99:AF105" si="47">IF(ROW()=ROW(INDEX(AZ$98:AZ$105, MATCH(1, AZ$98:AZ$105, 0))), 3, AZ99)</f>
        <v>3</v>
      </c>
      <c r="AG99" s="249"/>
      <c r="AH99" s="249"/>
      <c r="AI99" s="254"/>
      <c r="AJ99" s="254"/>
      <c r="AK99" s="254"/>
      <c r="AL99" s="254"/>
      <c r="AM99" s="254"/>
      <c r="AN99" s="254"/>
      <c r="AO99" s="254"/>
      <c r="AP99" s="254"/>
      <c r="AQ99" s="254"/>
      <c r="AR99" s="257"/>
      <c r="AS99" s="258"/>
      <c r="AT99" s="254"/>
      <c r="AU99" s="254"/>
      <c r="AV99" s="254"/>
      <c r="AW99" s="259"/>
      <c r="AX99" s="266"/>
      <c r="AY99" s="267"/>
      <c r="AZ99" s="262">
        <f t="shared" ref="AZ99:AZ105" si="48">IF(E99&lt;$AJ$98,IF(D99&gt;$AE$100,IF(C99&lt;100,1,2),2),2)</f>
        <v>1</v>
      </c>
    </row>
    <row r="100" spans="1:52" s="263" customFormat="1" x14ac:dyDescent="0.25">
      <c r="A100" s="234">
        <f>I35</f>
        <v>17.210400880187535</v>
      </c>
      <c r="B100" s="235" t="e">
        <f t="shared" si="40"/>
        <v>#DIV/0!</v>
      </c>
      <c r="C100" s="235">
        <f t="shared" si="41"/>
        <v>60.7</v>
      </c>
      <c r="D100" s="236">
        <f t="shared" si="42"/>
        <v>32.333315651327894</v>
      </c>
      <c r="E100" s="237">
        <f t="shared" si="44"/>
        <v>640.00000000000728</v>
      </c>
      <c r="F100" s="238" t="e">
        <f>AVERAGE(B99:B100)</f>
        <v>#DIV/0!</v>
      </c>
      <c r="G100" s="235" t="e">
        <f t="shared" si="43"/>
        <v>#DIV/0!</v>
      </c>
      <c r="H100" s="235">
        <v>10</v>
      </c>
      <c r="I100" s="217" t="e">
        <f>IF(AND(G99&gt;H99,G100&gt;H100,G101&lt;H101),1,2)</f>
        <v>#DIV/0!</v>
      </c>
      <c r="J100" s="217"/>
      <c r="K100" s="217"/>
      <c r="L100" s="217"/>
      <c r="M100" s="217"/>
      <c r="N100" s="217"/>
      <c r="O100" s="217"/>
      <c r="P100" s="217"/>
      <c r="Q100" s="241"/>
      <c r="R100" s="242">
        <f>AVERAGE(C99:C100)</f>
        <v>65.824999999999989</v>
      </c>
      <c r="S100" s="243">
        <f>(R100-C100)*100/R100</f>
        <v>7.7857956703379978</v>
      </c>
      <c r="T100" s="244">
        <v>10</v>
      </c>
      <c r="U100" s="264">
        <f>IF(AND(S100&gt;T100,S101&lt;T101),1,2)</f>
        <v>2</v>
      </c>
      <c r="V100" s="244"/>
      <c r="W100" s="244"/>
      <c r="X100" s="244"/>
      <c r="Y100" s="243"/>
      <c r="Z100" s="243"/>
      <c r="AA100" s="243"/>
      <c r="AB100" s="265"/>
      <c r="AC100" s="247">
        <f t="shared" si="45"/>
        <v>1</v>
      </c>
      <c r="AD100" s="248">
        <f t="shared" si="46"/>
        <v>32.333315651327894</v>
      </c>
      <c r="AE100" s="249">
        <f>IF(AE104&lt;10,(AE98-AE99),2)</f>
        <v>31.844138671749789</v>
      </c>
      <c r="AF100" s="250">
        <f t="shared" si="47"/>
        <v>1</v>
      </c>
      <c r="AG100" s="249"/>
      <c r="AH100" s="249"/>
      <c r="AI100" s="254"/>
      <c r="AJ100" s="254"/>
      <c r="AK100" s="254"/>
      <c r="AL100" s="254"/>
      <c r="AM100" s="254"/>
      <c r="AN100" s="254"/>
      <c r="AO100" s="254"/>
      <c r="AP100" s="254"/>
      <c r="AQ100" s="254"/>
      <c r="AR100" s="257"/>
      <c r="AS100" s="258"/>
      <c r="AT100" s="254"/>
      <c r="AU100" s="254"/>
      <c r="AV100" s="254"/>
      <c r="AW100" s="259"/>
      <c r="AX100" s="266"/>
      <c r="AY100" s="267"/>
      <c r="AZ100" s="262">
        <f t="shared" si="48"/>
        <v>1</v>
      </c>
    </row>
    <row r="101" spans="1:52" s="263" customFormat="1" x14ac:dyDescent="0.25">
      <c r="A101" s="234">
        <f>I36</f>
        <v>19.316061793585558</v>
      </c>
      <c r="B101" s="235" t="e">
        <f t="shared" si="40"/>
        <v>#DIV/0!</v>
      </c>
      <c r="C101" s="235">
        <f t="shared" si="41"/>
        <v>48.45</v>
      </c>
      <c r="D101" s="268">
        <f t="shared" si="42"/>
        <v>31.838845636604873</v>
      </c>
      <c r="E101" s="237">
        <f t="shared" si="44"/>
        <v>550.00000000000603</v>
      </c>
      <c r="F101" s="238" t="e">
        <f>AVERAGE(B100:B101)</f>
        <v>#DIV/0!</v>
      </c>
      <c r="G101" s="235" t="e">
        <f t="shared" si="43"/>
        <v>#DIV/0!</v>
      </c>
      <c r="H101" s="235">
        <v>10</v>
      </c>
      <c r="I101" s="217" t="e">
        <f>IF(AND(G100&gt;H100,G101&gt;H101,G102&lt;H102),1,2)</f>
        <v>#DIV/0!</v>
      </c>
      <c r="J101" s="217"/>
      <c r="K101" s="217"/>
      <c r="L101" s="217"/>
      <c r="M101" s="217"/>
      <c r="N101" s="217"/>
      <c r="O101" s="217"/>
      <c r="P101" s="217"/>
      <c r="Q101" s="241"/>
      <c r="R101" s="242">
        <f>AVERAGE(C100:C101)</f>
        <v>54.575000000000003</v>
      </c>
      <c r="S101" s="243">
        <f>(R101-C101)*100/R101</f>
        <v>11.223087494273935</v>
      </c>
      <c r="T101" s="244">
        <v>10</v>
      </c>
      <c r="U101" s="264">
        <f>IF(AND(S101&gt;T101,S102&lt;T102),1,2)</f>
        <v>2</v>
      </c>
      <c r="V101" s="244"/>
      <c r="W101" s="244"/>
      <c r="X101" s="244"/>
      <c r="Y101" s="243"/>
      <c r="Z101" s="243"/>
      <c r="AA101" s="243"/>
      <c r="AB101" s="265"/>
      <c r="AC101" s="247">
        <f t="shared" si="45"/>
        <v>1</v>
      </c>
      <c r="AD101" s="248">
        <f>IF(ISNUMBER(AC101),AC101*D101,"")</f>
        <v>31.838845636604873</v>
      </c>
      <c r="AE101" s="249"/>
      <c r="AF101" s="250">
        <f t="shared" si="47"/>
        <v>2</v>
      </c>
      <c r="AG101" s="249"/>
      <c r="AH101" s="249"/>
      <c r="AI101" s="254"/>
      <c r="AJ101" s="254"/>
      <c r="AK101" s="254"/>
      <c r="AL101" s="254"/>
      <c r="AM101" s="254"/>
      <c r="AN101" s="254"/>
      <c r="AO101" s="254"/>
      <c r="AP101" s="254"/>
      <c r="AQ101" s="254"/>
      <c r="AR101" s="257"/>
      <c r="AS101" s="258"/>
      <c r="AT101" s="254"/>
      <c r="AU101" s="254"/>
      <c r="AV101" s="254"/>
      <c r="AW101" s="259"/>
      <c r="AX101" s="266"/>
      <c r="AY101" s="267"/>
      <c r="AZ101" s="262">
        <f t="shared" si="48"/>
        <v>2</v>
      </c>
    </row>
    <row r="102" spans="1:52" s="263" customFormat="1" x14ac:dyDescent="0.25">
      <c r="A102" s="234">
        <f>I37</f>
        <v>20.796154017803566</v>
      </c>
      <c r="B102" s="235" t="e">
        <f t="shared" si="40"/>
        <v>#DIV/0!</v>
      </c>
      <c r="C102" s="235">
        <f t="shared" si="41"/>
        <v>32.6</v>
      </c>
      <c r="D102" s="236">
        <f t="shared" si="42"/>
        <v>31.805211853718319</v>
      </c>
      <c r="E102" s="237">
        <f t="shared" si="44"/>
        <v>440.00000000000705</v>
      </c>
      <c r="F102" s="238" t="e">
        <f>AVERAGE(B101:B102)</f>
        <v>#DIV/0!</v>
      </c>
      <c r="G102" s="235" t="e">
        <f t="shared" si="43"/>
        <v>#DIV/0!</v>
      </c>
      <c r="H102" s="235">
        <v>10</v>
      </c>
      <c r="I102" s="217" t="e">
        <f>IF(AND(G101&gt;H101,G102&gt;H102),1,2)</f>
        <v>#DIV/0!</v>
      </c>
      <c r="J102" s="217"/>
      <c r="K102" s="217"/>
      <c r="L102" s="217"/>
      <c r="M102" s="217"/>
      <c r="N102" s="217"/>
      <c r="O102" s="217"/>
      <c r="P102" s="217"/>
      <c r="Q102" s="241"/>
      <c r="R102" s="242">
        <f>AVERAGE(C101:C102)</f>
        <v>40.525000000000006</v>
      </c>
      <c r="S102" s="243">
        <f>(R102-C102)*100/R102</f>
        <v>19.555829734731656</v>
      </c>
      <c r="T102" s="244">
        <v>10</v>
      </c>
      <c r="U102" s="264">
        <f>IF(AND(S102&gt;T102,S103&lt;T103),1,2)</f>
        <v>1</v>
      </c>
      <c r="V102" s="244"/>
      <c r="W102" s="244"/>
      <c r="X102" s="244"/>
      <c r="Y102" s="243"/>
      <c r="Z102" s="243"/>
      <c r="AA102" s="243"/>
      <c r="AB102" s="265"/>
      <c r="AC102" s="247">
        <f t="shared" si="45"/>
        <v>1</v>
      </c>
      <c r="AD102" s="248">
        <f t="shared" si="46"/>
        <v>31.805211853718319</v>
      </c>
      <c r="AE102" s="249"/>
      <c r="AF102" s="250">
        <f t="shared" si="47"/>
        <v>2</v>
      </c>
      <c r="AG102" s="249"/>
      <c r="AH102" s="249"/>
      <c r="AI102" s="254"/>
      <c r="AJ102" s="254"/>
      <c r="AK102" s="254"/>
      <c r="AL102" s="254"/>
      <c r="AM102" s="254"/>
      <c r="AN102" s="254"/>
      <c r="AO102" s="254"/>
      <c r="AP102" s="254"/>
      <c r="AQ102" s="254"/>
      <c r="AR102" s="257"/>
      <c r="AS102" s="258"/>
      <c r="AT102" s="254"/>
      <c r="AU102" s="254"/>
      <c r="AV102" s="254"/>
      <c r="AW102" s="259"/>
      <c r="AX102" s="266"/>
      <c r="AY102" s="267"/>
      <c r="AZ102" s="262">
        <f t="shared" si="48"/>
        <v>2</v>
      </c>
    </row>
    <row r="103" spans="1:52" s="263" customFormat="1" ht="17.45" customHeight="1" x14ac:dyDescent="0.25">
      <c r="A103" s="234">
        <f>I38</f>
        <v>21.78639903329336</v>
      </c>
      <c r="B103" s="235">
        <f t="shared" si="40"/>
        <v>0</v>
      </c>
      <c r="C103" s="235">
        <f t="shared" si="41"/>
        <v>39.700000000000003</v>
      </c>
      <c r="D103" s="236">
        <f t="shared" si="42"/>
        <v>32.396768542878831</v>
      </c>
      <c r="E103" s="237">
        <f t="shared" si="44"/>
        <v>439.99999999999596</v>
      </c>
      <c r="F103" s="238" t="e">
        <f>AVERAGE(B102:B103)</f>
        <v>#DIV/0!</v>
      </c>
      <c r="G103" s="235" t="e">
        <f t="shared" si="43"/>
        <v>#DIV/0!</v>
      </c>
      <c r="H103" s="235">
        <v>10</v>
      </c>
      <c r="I103" s="217" t="e">
        <f>IF(AND(G102&gt;H102,G103&gt;H103),1,2)</f>
        <v>#DIV/0!</v>
      </c>
      <c r="J103" s="217"/>
      <c r="K103" s="217"/>
      <c r="L103" s="217"/>
      <c r="M103" s="217"/>
      <c r="N103" s="217"/>
      <c r="O103" s="217"/>
      <c r="P103" s="217"/>
      <c r="Q103" s="241"/>
      <c r="R103" s="242">
        <f>AVERAGE(C102:C103)</f>
        <v>36.150000000000006</v>
      </c>
      <c r="S103" s="243">
        <f>(R103-C103)*100/R103</f>
        <v>-9.8201936376210135</v>
      </c>
      <c r="T103" s="244">
        <v>10</v>
      </c>
      <c r="U103" s="264">
        <f>IF(AND(S103&gt;T103,S104&lt;T104),1,2)</f>
        <v>2</v>
      </c>
      <c r="V103" s="244"/>
      <c r="W103" s="244"/>
      <c r="X103" s="244"/>
      <c r="Y103" s="243"/>
      <c r="Z103" s="243"/>
      <c r="AA103" s="243"/>
      <c r="AB103" s="265"/>
      <c r="AC103" s="247">
        <f t="shared" si="45"/>
        <v>1</v>
      </c>
      <c r="AD103" s="248">
        <f t="shared" si="46"/>
        <v>32.396768542878831</v>
      </c>
      <c r="AE103" s="249"/>
      <c r="AF103" s="250">
        <f t="shared" si="47"/>
        <v>1</v>
      </c>
      <c r="AG103" s="249"/>
      <c r="AH103" s="249"/>
      <c r="AI103" s="254"/>
      <c r="AJ103" s="254"/>
      <c r="AK103" s="254"/>
      <c r="AL103" s="254"/>
      <c r="AM103" s="254"/>
      <c r="AN103" s="254"/>
      <c r="AO103" s="254"/>
      <c r="AP103" s="254"/>
      <c r="AQ103" s="254"/>
      <c r="AR103" s="257"/>
      <c r="AS103" s="258"/>
      <c r="AT103" s="254"/>
      <c r="AU103" s="254"/>
      <c r="AV103" s="254"/>
      <c r="AW103" s="259"/>
      <c r="AX103" s="266"/>
      <c r="AY103" s="267"/>
      <c r="AZ103" s="262">
        <f t="shared" si="48"/>
        <v>1</v>
      </c>
    </row>
    <row r="104" spans="1:52" s="263" customFormat="1" ht="17.45" customHeight="1" x14ac:dyDescent="0.25">
      <c r="A104" s="234"/>
      <c r="B104" s="235"/>
      <c r="C104" s="235"/>
      <c r="D104" s="235"/>
      <c r="E104" s="237"/>
      <c r="F104" s="238"/>
      <c r="G104" s="235"/>
      <c r="H104" s="235"/>
      <c r="I104" s="217"/>
      <c r="J104" s="217"/>
      <c r="K104" s="217"/>
      <c r="L104" s="217"/>
      <c r="M104" s="217"/>
      <c r="N104" s="217"/>
      <c r="O104" s="217"/>
      <c r="P104" s="217"/>
      <c r="Q104" s="241"/>
      <c r="R104" s="242"/>
      <c r="S104" s="243"/>
      <c r="T104" s="244"/>
      <c r="U104" s="244"/>
      <c r="V104" s="244"/>
      <c r="W104" s="244"/>
      <c r="X104" s="244"/>
      <c r="Y104" s="243"/>
      <c r="Z104" s="243"/>
      <c r="AA104" s="243"/>
      <c r="AB104" s="265"/>
      <c r="AC104" s="247" t="str">
        <f t="shared" si="45"/>
        <v/>
      </c>
      <c r="AD104" s="248" t="str">
        <f t="shared" si="46"/>
        <v/>
      </c>
      <c r="AE104" s="269">
        <f>AE99/AE98*100</f>
        <v>1.0590297871709262</v>
      </c>
      <c r="AF104" s="250">
        <f t="shared" si="47"/>
        <v>2</v>
      </c>
      <c r="AG104" s="249"/>
      <c r="AH104" s="249"/>
      <c r="AI104" s="254"/>
      <c r="AJ104" s="254"/>
      <c r="AK104" s="254"/>
      <c r="AL104" s="254"/>
      <c r="AM104" s="254"/>
      <c r="AN104" s="254"/>
      <c r="AO104" s="254"/>
      <c r="AP104" s="254"/>
      <c r="AQ104" s="254"/>
      <c r="AR104" s="257"/>
      <c r="AS104" s="258"/>
      <c r="AT104" s="254"/>
      <c r="AU104" s="254"/>
      <c r="AV104" s="254"/>
      <c r="AW104" s="259"/>
      <c r="AX104" s="266"/>
      <c r="AY104" s="267"/>
      <c r="AZ104" s="262">
        <f t="shared" si="48"/>
        <v>2</v>
      </c>
    </row>
    <row r="105" spans="1:52" ht="15.75" customHeight="1" thickBot="1" x14ac:dyDescent="0.3">
      <c r="AB105" s="4" t="s">
        <v>182</v>
      </c>
      <c r="AC105" s="247" t="str">
        <f t="shared" si="45"/>
        <v/>
      </c>
      <c r="AD105" s="248" t="str">
        <f t="shared" si="46"/>
        <v/>
      </c>
      <c r="AE105" s="269"/>
      <c r="AF105" s="250">
        <f t="shared" si="47"/>
        <v>2</v>
      </c>
      <c r="AG105" s="249"/>
      <c r="AH105" s="249"/>
      <c r="AI105" s="254"/>
      <c r="AJ105" s="254"/>
      <c r="AK105" s="254"/>
      <c r="AL105" s="254"/>
      <c r="AM105" s="254"/>
      <c r="AN105" s="254"/>
      <c r="AO105" s="254"/>
      <c r="AP105" s="254"/>
      <c r="AQ105" s="254"/>
      <c r="AR105" s="257"/>
      <c r="AS105" s="258"/>
      <c r="AT105" s="254"/>
      <c r="AU105" s="254"/>
      <c r="AV105" s="254"/>
      <c r="AW105" s="259"/>
      <c r="AX105" s="266"/>
      <c r="AY105" s="267"/>
      <c r="AZ105" s="262">
        <f t="shared" si="48"/>
        <v>2</v>
      </c>
    </row>
    <row r="106" spans="1:52" ht="15.75" customHeight="1" x14ac:dyDescent="0.25">
      <c r="AB106" s="270"/>
      <c r="AC106" s="271" t="s">
        <v>183</v>
      </c>
      <c r="AD106" s="272"/>
      <c r="AE106" s="273"/>
      <c r="AF106" s="274"/>
      <c r="AG106" s="275"/>
      <c r="AH106" s="275"/>
      <c r="AI106" s="276"/>
    </row>
    <row r="107" spans="1:52" ht="15.75" customHeight="1" x14ac:dyDescent="0.25">
      <c r="AB107" s="277"/>
      <c r="AC107" s="278">
        <f>AVERAGE(D100:D102)</f>
        <v>31.992457713883695</v>
      </c>
      <c r="AD107" s="274"/>
      <c r="AE107" s="279">
        <f>AC107-AC108</f>
        <v>31.696787444873014</v>
      </c>
      <c r="AF107" s="274"/>
      <c r="AG107" s="274"/>
      <c r="AH107" s="275"/>
    </row>
    <row r="108" spans="1:52" ht="15.75" customHeight="1" x14ac:dyDescent="0.25">
      <c r="AB108" s="277"/>
      <c r="AC108" s="274">
        <f>STDEV(D100:D102)</f>
        <v>0.29567026901068322</v>
      </c>
      <c r="AD108" s="274"/>
      <c r="AE108" s="280"/>
      <c r="AF108" s="274">
        <f>STDEV(D101:D103)</f>
        <v>0.33225204217756821</v>
      </c>
      <c r="AG108" s="275"/>
      <c r="AH108" s="275"/>
    </row>
    <row r="109" spans="1:52" ht="16.5" thickBot="1" x14ac:dyDescent="0.3">
      <c r="I109" s="4" t="s">
        <v>184</v>
      </c>
      <c r="AB109" s="281" t="s">
        <v>185</v>
      </c>
      <c r="AC109" s="282">
        <f>AC108/AC107*100</f>
        <v>0.92418741834383</v>
      </c>
      <c r="AD109" s="283" t="s">
        <v>186</v>
      </c>
      <c r="AE109" s="284"/>
      <c r="AF109" s="274"/>
      <c r="AG109" s="275"/>
      <c r="AH109" s="275"/>
    </row>
  </sheetData>
  <mergeCells count="22">
    <mergeCell ref="A50:P50"/>
    <mergeCell ref="A61:O61"/>
    <mergeCell ref="A75:P75"/>
    <mergeCell ref="AF24:AG24"/>
    <mergeCell ref="AF25:AG25"/>
    <mergeCell ref="A26:C26"/>
    <mergeCell ref="A31:R31"/>
    <mergeCell ref="D41:H41"/>
    <mergeCell ref="I41:M41"/>
    <mergeCell ref="AF16:AK17"/>
    <mergeCell ref="A17:C17"/>
    <mergeCell ref="AF18:AG20"/>
    <mergeCell ref="AF21:AG21"/>
    <mergeCell ref="AF22:AG22"/>
    <mergeCell ref="A23:C23"/>
    <mergeCell ref="AF23:AG23"/>
    <mergeCell ref="U5:AL7"/>
    <mergeCell ref="A6:D6"/>
    <mergeCell ref="V10:X11"/>
    <mergeCell ref="AI10:AK11"/>
    <mergeCell ref="V13:W13"/>
    <mergeCell ref="V14:W14"/>
  </mergeCells>
  <conditionalFormatting sqref="AI21">
    <cfRule type="cellIs" dxfId="7" priority="1" operator="lessThan">
      <formula>3</formula>
    </cfRule>
    <cfRule type="cellIs" dxfId="6" priority="2" operator="greaterThan">
      <formula>3.9</formula>
    </cfRule>
    <cfRule type="cellIs" dxfId="5" priority="3" operator="between">
      <formula>3</formula>
      <formula>3.9</formula>
    </cfRule>
    <cfRule type="cellIs" dxfId="4" priority="4" operator="between">
      <formula>3</formula>
      <formula>3.9</formula>
    </cfRule>
    <cfRule type="cellIs" dxfId="3" priority="8" operator="between">
      <formula>3.15</formula>
      <formula>3.85</formula>
    </cfRule>
  </conditionalFormatting>
  <conditionalFormatting sqref="AI25">
    <cfRule type="cellIs" dxfId="2" priority="7" operator="lessThan">
      <formula>812</formula>
    </cfRule>
  </conditionalFormatting>
  <conditionalFormatting sqref="AI25:AK25">
    <cfRule type="cellIs" dxfId="1" priority="5" operator="greaterThan">
      <formula>1000</formula>
    </cfRule>
  </conditionalFormatting>
  <conditionalFormatting sqref="AJ25:AK25">
    <cfRule type="cellIs" dxfId="0" priority="6" operator="lessThan">
      <formula>1000</formula>
    </cfRule>
  </conditionalFormatting>
  <printOptions horizontalCentered="1"/>
  <pageMargins left="0.25" right="0.25" top="0" bottom="0" header="0.3" footer="0.3"/>
  <pageSetup paperSize="9" scale="12" orientation="portrait" r:id="rId1"/>
  <rowBreaks count="4" manualBreakCount="4">
    <brk id="15" max="16383" man="1"/>
    <brk id="18" max="16383" man="1"/>
    <brk id="22" max="16383" man="1"/>
    <brk id="31" max="16383" man="1"/>
  </rowBreaks>
  <colBreaks count="3" manualBreakCount="3">
    <brk id="40" max="1048575" man="1"/>
    <brk id="44" max="1048575" man="1"/>
    <brk id="54"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03_18_2025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Arash Massoudieh</dc:creator>
  <cp:lastModifiedBy>Arash Massoudieh</cp:lastModifiedBy>
  <dcterms:created xsi:type="dcterms:W3CDTF">2025-05-31T00:03:09Z</dcterms:created>
  <dcterms:modified xsi:type="dcterms:W3CDTF">2025-05-31T00:36:59Z</dcterms:modified>
</cp:coreProperties>
</file>